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9720" windowHeight="6570" tabRatio="459" activeTab="0"/>
  </bookViews>
  <sheets>
    <sheet name="list" sheetId="1" r:id="rId1"/>
    <sheet name="source" sheetId="2" r:id="rId2"/>
    <sheet name="cond" sheetId="3" r:id="rId3"/>
    <sheet name="emiss 1" sheetId="4" r:id="rId4"/>
    <sheet name="emiss 2" sheetId="5" r:id="rId5"/>
    <sheet name="feed 1" sheetId="6" r:id="rId6"/>
    <sheet name="feed 2" sheetId="7" r:id="rId7"/>
    <sheet name="process 1" sheetId="8" r:id="rId8"/>
    <sheet name="process 2" sheetId="9" r:id="rId9"/>
    <sheet name="df c10" sheetId="10" r:id="rId10"/>
    <sheet name="df c11" sheetId="11" r:id="rId11"/>
    <sheet name="df c12" sheetId="12" r:id="rId12"/>
    <sheet name="df c13" sheetId="13" r:id="rId13"/>
    <sheet name="df c1" sheetId="14" r:id="rId14"/>
    <sheet name="df c2" sheetId="15" r:id="rId15"/>
    <sheet name="df c3" sheetId="16" r:id="rId16"/>
    <sheet name="df c4" sheetId="17" r:id="rId17"/>
    <sheet name="df c5" sheetId="18" r:id="rId18"/>
    <sheet name="df c6" sheetId="19" r:id="rId19"/>
    <sheet name="df c7" sheetId="20" r:id="rId20"/>
    <sheet name="df b3" sheetId="21" r:id="rId21"/>
    <sheet name="df b4" sheetId="22" r:id="rId22"/>
    <sheet name="df b5" sheetId="23" r:id="rId23"/>
  </sheets>
  <definedNames>
    <definedName name="_xlnm.Print_Titles" localSheetId="5">'feed 1'!$B:$B</definedName>
    <definedName name="_xlnm.Print_Titles" localSheetId="6">'feed 2'!$B:$B</definedName>
    <definedName name="_xlnm.Print_Titles" localSheetId="7">'process 1'!$B:$B</definedName>
  </definedNames>
  <calcPr fullCalcOnLoad="1"/>
</workbook>
</file>

<file path=xl/sharedStrings.xml><?xml version="1.0" encoding="utf-8"?>
<sst xmlns="http://schemas.openxmlformats.org/spreadsheetml/2006/main" count="5666" uniqueCount="486">
  <si>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</si>
  <si>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</si>
  <si>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</si>
  <si>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</si>
  <si>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</si>
  <si>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</si>
  <si>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</si>
  <si>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</si>
  <si>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</si>
  <si>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</si>
  <si>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</si>
  <si>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</si>
  <si>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</si>
  <si>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</si>
  <si>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</si>
  <si>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</si>
  <si>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</si>
  <si>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</si>
  <si>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</si>
  <si>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</si>
  <si>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Facility Name and ID:</t>
  </si>
  <si>
    <t>Condition ID:</t>
  </si>
  <si>
    <t>Condition/Test Date:</t>
  </si>
  <si>
    <t>I-TEF</t>
  </si>
  <si>
    <t>Wght Fact</t>
  </si>
  <si>
    <t>Total</t>
  </si>
  <si>
    <t xml:space="preserve"> TEQ</t>
  </si>
  <si>
    <t>TEQ</t>
  </si>
  <si>
    <t>2,3,7,8-TCDD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</si>
  <si>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</si>
  <si>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</si>
  <si>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</si>
  <si>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</si>
  <si>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</si>
  <si>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</si>
  <si>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</si>
  <si>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</si>
  <si>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</si>
  <si>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</si>
  <si>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</si>
  <si>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</si>
  <si>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</si>
  <si>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</si>
  <si>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</si>
  <si>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</si>
  <si>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Gas sample volume (dscf)</t>
  </si>
  <si>
    <t>PCDD/PCDF (ng/dscm @ 7% O2)</t>
  </si>
  <si>
    <t>Cond Avg</t>
  </si>
  <si>
    <t>Feedstream Description</t>
  </si>
  <si>
    <t>Ash</t>
  </si>
  <si>
    <t>HCl</t>
  </si>
  <si>
    <t>Cl2</t>
  </si>
  <si>
    <t>DRE</t>
  </si>
  <si>
    <t>lb/hr</t>
  </si>
  <si>
    <t>Run 1</t>
  </si>
  <si>
    <t>Run 3</t>
  </si>
  <si>
    <r>
      <t>o</t>
    </r>
    <r>
      <rPr>
        <sz val="10"/>
        <rFont val="Arial"/>
        <family val="2"/>
      </rPr>
      <t>F</t>
    </r>
  </si>
  <si>
    <t>ug/dscm</t>
  </si>
  <si>
    <t>SVM</t>
  </si>
  <si>
    <t>LVM</t>
  </si>
  <si>
    <t>O2 (%)</t>
  </si>
  <si>
    <t>TEQ Cond Avg</t>
  </si>
  <si>
    <t>Total Cond Avg</t>
  </si>
  <si>
    <t>mg/dscm</t>
  </si>
  <si>
    <t>HW</t>
  </si>
  <si>
    <t>HC</t>
  </si>
  <si>
    <t>O2</t>
  </si>
  <si>
    <t>ng/dscm</t>
  </si>
  <si>
    <t>Combustor Characteristics</t>
  </si>
  <si>
    <t>7% O2</t>
  </si>
  <si>
    <t>Process Information</t>
  </si>
  <si>
    <t>1/2 ND</t>
  </si>
  <si>
    <t>PCDD/PCDF</t>
  </si>
  <si>
    <t>Hazardous Wastes</t>
  </si>
  <si>
    <t>Supplemental Fuel</t>
  </si>
  <si>
    <t>Capacity (MMBtu/hr)</t>
  </si>
  <si>
    <t xml:space="preserve">    Gas Velocity (ft/sec)</t>
  </si>
  <si>
    <t xml:space="preserve">    Gas Temperature (°F)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</si>
  <si>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</si>
  <si>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</si>
  <si>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</si>
  <si>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</si>
  <si>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</si>
  <si>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Lead</t>
  </si>
  <si>
    <t>Beryllium</t>
  </si>
  <si>
    <t>Mercury</t>
  </si>
  <si>
    <t>Comments</t>
  </si>
  <si>
    <t xml:space="preserve">   O2</t>
  </si>
  <si>
    <t xml:space="preserve">   Moisture</t>
  </si>
  <si>
    <t>Sampling Train</t>
  </si>
  <si>
    <t>*</t>
  </si>
  <si>
    <t>Feed Rate</t>
  </si>
  <si>
    <t>HWC Burn Status (Date if Terminated)</t>
  </si>
  <si>
    <t>Total TCDD</t>
  </si>
  <si>
    <t>Total PCDD</t>
  </si>
  <si>
    <t>Total HxCDD</t>
  </si>
  <si>
    <t>Total HpCDD</t>
  </si>
  <si>
    <t>Total TCDF</t>
  </si>
  <si>
    <t>Total PCDF</t>
  </si>
  <si>
    <t>Total HxCDF</t>
  </si>
  <si>
    <t>Total HpCDF</t>
  </si>
  <si>
    <t>PCDD/PCDF (ng in sample)</t>
  </si>
  <si>
    <t>nd</t>
  </si>
  <si>
    <t>Detected in sample volume (pg)</t>
  </si>
  <si>
    <t>Phase I ID No.</t>
  </si>
  <si>
    <t>Arsenic</t>
  </si>
  <si>
    <t>Cadmium</t>
  </si>
  <si>
    <t>Nickel</t>
  </si>
  <si>
    <t>CO (RA)</t>
  </si>
  <si>
    <t>Run 2</t>
  </si>
  <si>
    <t>CO (MHRA)</t>
  </si>
  <si>
    <t xml:space="preserve">POHC </t>
  </si>
  <si>
    <t>POHC Feedrate</t>
  </si>
  <si>
    <t>Emission Rate</t>
  </si>
  <si>
    <t>Feedrate MTEC Calculations</t>
  </si>
  <si>
    <t>OH</t>
  </si>
  <si>
    <t>Data Source</t>
  </si>
  <si>
    <t>p1-1</t>
  </si>
  <si>
    <t>Not reported</t>
  </si>
  <si>
    <t>Agrees</t>
  </si>
  <si>
    <t>BTU</t>
  </si>
  <si>
    <t>MMBtu/hr</t>
  </si>
  <si>
    <t>Boiler Inlet Temp</t>
  </si>
  <si>
    <t>ENSR Corp.</t>
  </si>
  <si>
    <t>Chlorine</t>
  </si>
  <si>
    <t>Stack Gas Flowrate</t>
  </si>
  <si>
    <t>Oxygen</t>
  </si>
  <si>
    <t>OHD980613541</t>
  </si>
  <si>
    <t>Phase I Database</t>
  </si>
  <si>
    <t>WTI</t>
  </si>
  <si>
    <t>Cover</t>
  </si>
  <si>
    <t>East Liverpool</t>
  </si>
  <si>
    <t>Rotary Kiln Incineration System</t>
  </si>
  <si>
    <t>1994:p2-2</t>
  </si>
  <si>
    <t>WHB/SD/CI/ESP/Q/PBS</t>
  </si>
  <si>
    <t>1994: p2-1thru 4 and Phase 1 database for CI</t>
  </si>
  <si>
    <t>1997 Annual Performance Test Emission Results</t>
  </si>
  <si>
    <t>Waste Technologies Industries</t>
  </si>
  <si>
    <t>July 14-16, 1997</t>
  </si>
  <si>
    <t>PCDD/PCDF,PM,HCl,DRE (TCE-spiked),Metals(not spiked)</t>
  </si>
  <si>
    <t>222C10</t>
  </si>
  <si>
    <t>1997 Performance Test</t>
  </si>
  <si>
    <t>Not Reported</t>
  </si>
  <si>
    <t>PM, HCl</t>
  </si>
  <si>
    <t>Trichloroethylene</t>
  </si>
  <si>
    <t>Chromium</t>
  </si>
  <si>
    <t>TCE</t>
  </si>
  <si>
    <t>From Metals Test</t>
  </si>
  <si>
    <t>Kiln Outlet Temperature</t>
  </si>
  <si>
    <t>Temperature After Secondary RFG</t>
  </si>
  <si>
    <t>Spray Dryer Outlet Temperature</t>
  </si>
  <si>
    <t>Spray Dryer Inlet Temperature</t>
  </si>
  <si>
    <t>Stack THC</t>
  </si>
  <si>
    <t>ppm</t>
  </si>
  <si>
    <t>Stack Dry O2</t>
  </si>
  <si>
    <t>Stack Temperature</t>
  </si>
  <si>
    <t>3 Hour Avg Heat Release</t>
  </si>
  <si>
    <t>CO 1 Hour Avg</t>
  </si>
  <si>
    <t>lb/MMBtu</t>
  </si>
  <si>
    <t>ESP fields reported as always on, but no voltage, current or power data provided</t>
  </si>
  <si>
    <t>Time</t>
  </si>
  <si>
    <t>R1 Avg</t>
  </si>
  <si>
    <t>R2 Avg</t>
  </si>
  <si>
    <t>R3 Avg</t>
  </si>
  <si>
    <t>Run 4</t>
  </si>
  <si>
    <t>Run 5</t>
  </si>
  <si>
    <t>PCDD/PCDF (ng/dscm@7%O2 with nd as 0)</t>
  </si>
  <si>
    <t>1997 Annual Performance Test</t>
  </si>
  <si>
    <t>1998 Annual Performance Test Emission Results</t>
  </si>
  <si>
    <t>Von Roll America, Inc.</t>
  </si>
  <si>
    <t>November 16-18, 1998</t>
  </si>
  <si>
    <t>1998 p3-4</t>
  </si>
  <si>
    <t>1998 Annual Performance Test</t>
  </si>
  <si>
    <t>PCDD/PCDF,PM,HCl,DRE (MCB-spiked),Metals(not spiked?)</t>
  </si>
  <si>
    <t>222C11</t>
  </si>
  <si>
    <t>1998 Performance Test</t>
  </si>
  <si>
    <t>Monochlorobenzene</t>
  </si>
  <si>
    <t>&lt;</t>
  </si>
  <si>
    <t>MCB</t>
  </si>
  <si>
    <t>Kiln Temperature</t>
  </si>
  <si>
    <t>SCC Temperature</t>
  </si>
  <si>
    <t>Boiler Temp/Tertiary Air Controller</t>
  </si>
  <si>
    <t>SDA Outlet Temperature Controller</t>
  </si>
  <si>
    <t>SDA Inlet Temperature</t>
  </si>
  <si>
    <t>1999 Annual Performance Test Emission Results</t>
  </si>
  <si>
    <t>November 15-16, 1999</t>
  </si>
  <si>
    <t>1999 Annual Performance Test</t>
  </si>
  <si>
    <t>PCDD/PCDF,PM,HCl,DRE (TCE-spiked),Metals(not spiked?)</t>
  </si>
  <si>
    <t>222C12</t>
  </si>
  <si>
    <t>1999 Performance Test</t>
  </si>
  <si>
    <t>R5 Avg</t>
  </si>
  <si>
    <t>R4 Avg</t>
  </si>
  <si>
    <t>CY 2000 Annual Performance Test Emission Results</t>
  </si>
  <si>
    <t>2000 Annual Performance Test</t>
  </si>
  <si>
    <t>November 13-17, 2000</t>
  </si>
  <si>
    <t>222C13</t>
  </si>
  <si>
    <t>2000 Performance Test</t>
  </si>
  <si>
    <t>Semivolatile Organics</t>
  </si>
  <si>
    <t>Metals</t>
  </si>
  <si>
    <t>Phenol</t>
  </si>
  <si>
    <t>Bis(2-chloroethyl)ether</t>
  </si>
  <si>
    <t>2-chlorophenol</t>
  </si>
  <si>
    <t>1,3-Dichlorobenzene</t>
  </si>
  <si>
    <t>1,4-Dichlorobenzene</t>
  </si>
  <si>
    <t>1,2-Dichlorobenzene</t>
  </si>
  <si>
    <t>2-methylphenol (o-cresol)</t>
  </si>
  <si>
    <t>4-methylphenol (m/p-cresol)</t>
  </si>
  <si>
    <t>Bis(2-chloroisopropyl)ether</t>
  </si>
  <si>
    <t>n-Nitrosodi-n-propylamine</t>
  </si>
  <si>
    <t>Hexachloroethane</t>
  </si>
  <si>
    <t>Nitrobenzene</t>
  </si>
  <si>
    <t>Isophorone</t>
  </si>
  <si>
    <t>2-Nitrophenol</t>
  </si>
  <si>
    <t>2,4-Dimethylphenol</t>
  </si>
  <si>
    <t>Bis(2-chloroethoxy)methane</t>
  </si>
  <si>
    <t>Benzoic Acid</t>
  </si>
  <si>
    <t>2,4-Dichlorophenol</t>
  </si>
  <si>
    <t>1,2,4-Trichlorobenzene</t>
  </si>
  <si>
    <t>Naphthalene</t>
  </si>
  <si>
    <t>4-Chloroaniline</t>
  </si>
  <si>
    <t>Hexachlorobutadiene</t>
  </si>
  <si>
    <t>4-Chloro-3-Methylphenol</t>
  </si>
  <si>
    <t>2-Methylnaphthalene</t>
  </si>
  <si>
    <t>Hexachlorocyclopentadiene</t>
  </si>
  <si>
    <t>2,4,6-Trichlorophenol</t>
  </si>
  <si>
    <t>2,4,5-Trichlorophenol</t>
  </si>
  <si>
    <t>2-Chloronaphthalene</t>
  </si>
  <si>
    <t>2-Nitroaniline</t>
  </si>
  <si>
    <t>Dimethyl phthalate</t>
  </si>
  <si>
    <t>Acenaphthylene</t>
  </si>
  <si>
    <t>2,4-Dinitrotoluene</t>
  </si>
  <si>
    <t>3-Nitroaniline</t>
  </si>
  <si>
    <t>Acenaphthene</t>
  </si>
  <si>
    <t>2,4-Dinitrophenol</t>
  </si>
  <si>
    <t>4-Nitrophenol</t>
  </si>
  <si>
    <t>Dibenzofuran</t>
  </si>
  <si>
    <t>Diethyl phthalate</t>
  </si>
  <si>
    <t>Fluorene</t>
  </si>
  <si>
    <t>4-Chlorophenyl-phenylether</t>
  </si>
  <si>
    <t>4-Nitroaniline</t>
  </si>
  <si>
    <t>4,6-Dinitro-2-methylphenol</t>
  </si>
  <si>
    <t>Azobenzene</t>
  </si>
  <si>
    <t>n-Nitrosodiphenylamine</t>
  </si>
  <si>
    <t>4-Bromophenyl-phenylether</t>
  </si>
  <si>
    <t>Hexachlorobenzene</t>
  </si>
  <si>
    <t>Pentachlorophenol</t>
  </si>
  <si>
    <t>Di-n-butyl phthalaye</t>
  </si>
  <si>
    <t>Fluoranthene</t>
  </si>
  <si>
    <t>Pyrene</t>
  </si>
  <si>
    <t>Butylbenzylphthalate</t>
  </si>
  <si>
    <t>Benzo(a)anthracene</t>
  </si>
  <si>
    <t>3-3'-Dichlorobenzidine</t>
  </si>
  <si>
    <t>Chrysene</t>
  </si>
  <si>
    <t>Bis(2-ethylhexyl)phthalate</t>
  </si>
  <si>
    <t>Di-n-octyl phthalate</t>
  </si>
  <si>
    <t>Benzo(b)fluoranthene</t>
  </si>
  <si>
    <t>Benzo(k)fluoranthene</t>
  </si>
  <si>
    <t>Benzo(a)pyrene</t>
  </si>
  <si>
    <t>Indeno(1,2,3-c,d)pyrene</t>
  </si>
  <si>
    <t>Dibenz(a,h)anthracene</t>
  </si>
  <si>
    <t>Benzo(g,h,i)perylene</t>
  </si>
  <si>
    <t>2,6-Dinitrotoluene</t>
  </si>
  <si>
    <t xml:space="preserve">   Sample Volume</t>
  </si>
  <si>
    <t>dscf</t>
  </si>
  <si>
    <t>ug</t>
  </si>
  <si>
    <t>PCDD/PCDF,PM,HCl,DRE (MCB-spiked),Metals(not spiked?),SVOCs</t>
  </si>
  <si>
    <t>Run 6</t>
  </si>
  <si>
    <t>Run 1  11/13/00</t>
  </si>
  <si>
    <t>Run 2  11/14/00</t>
  </si>
  <si>
    <t>Run 3  11/14/00</t>
  </si>
  <si>
    <t>Run 4  11/15/00</t>
  </si>
  <si>
    <t>Run 5  11/15/00</t>
  </si>
  <si>
    <t>Run 6  11/16/00</t>
  </si>
  <si>
    <t>R6 Avg</t>
  </si>
  <si>
    <t>Testing Dates</t>
  </si>
  <si>
    <t>Condition Descr</t>
  </si>
  <si>
    <t>Content</t>
  </si>
  <si>
    <t>Report Name/Date</t>
  </si>
  <si>
    <t>Report Prepare</t>
  </si>
  <si>
    <t>Testing Firm</t>
  </si>
  <si>
    <t>222B1</t>
  </si>
  <si>
    <t>Cond Descr</t>
  </si>
  <si>
    <t>QUARTERLY EMISSION TEST FOR PB AND PM, CARBON INJECTION</t>
  </si>
  <si>
    <t>222B2</t>
  </si>
  <si>
    <t>222B3</t>
  </si>
  <si>
    <t>ANNUAL PERFORMANCE TEST, NORM WASTE FEED, CARBON INJECTION</t>
  </si>
  <si>
    <t>222B4</t>
  </si>
  <si>
    <t>QUARTERLY COMPLIANCE, NORMAL CONDITIONS, CARBON  INJECTION</t>
  </si>
  <si>
    <t>222B5</t>
  </si>
  <si>
    <t>QUARTERLY COMPLIANCE, NORMAL CONDITIONS, CARBON INJECTION</t>
  </si>
  <si>
    <t>222B6</t>
  </si>
  <si>
    <t>222C1</t>
  </si>
  <si>
    <t>MAX FEED METALS,CL2,SCC TEMP,KILN AQEOUS, NO CARBON INJ</t>
  </si>
  <si>
    <t>March 10-11, 1993</t>
  </si>
  <si>
    <t>222C2</t>
  </si>
  <si>
    <t>MAX FEED SLUDGE,SCC AQ.LIQ, NO CARBON INJECTION</t>
  </si>
  <si>
    <t>March 12-13, 1993</t>
  </si>
  <si>
    <t>222C3</t>
  </si>
  <si>
    <t>MAX FEED SOLIDS, MIN SCC TEMP., NO CARBON INJECTION</t>
  </si>
  <si>
    <t>March 17-30, 1993</t>
  </si>
  <si>
    <t>222C4</t>
  </si>
  <si>
    <t>RE-TEST PCDD/PCDF/ CARBON INJECTION</t>
  </si>
  <si>
    <t>July 23-24, 1993</t>
  </si>
  <si>
    <t>222C5</t>
  </si>
  <si>
    <t>?/ CARBON INJECTION</t>
  </si>
  <si>
    <t>February 15-18, 1994</t>
  </si>
  <si>
    <t>222C6</t>
  </si>
  <si>
    <t>MAX WASTE/ASH FEED, CARBON INJECTION</t>
  </si>
  <si>
    <t>February 24-26, 1994</t>
  </si>
  <si>
    <t>222C7</t>
  </si>
  <si>
    <t>?/CARBON INJECTION</t>
  </si>
  <si>
    <t>April 25-28, 1994</t>
  </si>
  <si>
    <t>222C8</t>
  </si>
  <si>
    <t>QUARTERLY EMISSION TEST FOR PM AND PB, CARBON INJECTION</t>
  </si>
  <si>
    <t>4/28/94</t>
  </si>
  <si>
    <t>222C9</t>
  </si>
  <si>
    <t>R1</t>
  </si>
  <si>
    <t>R2</t>
  </si>
  <si>
    <t>R3</t>
  </si>
  <si>
    <t>R4</t>
  </si>
  <si>
    <t>R5</t>
  </si>
  <si>
    <t>R6</t>
  </si>
  <si>
    <t>R7</t>
  </si>
  <si>
    <t>R8</t>
  </si>
  <si>
    <t/>
  </si>
  <si>
    <t>Antimony</t>
  </si>
  <si>
    <t>Chromium (Hex)</t>
  </si>
  <si>
    <t>Carbon Tetrachloride</t>
  </si>
  <si>
    <t>Chlorobenzene</t>
  </si>
  <si>
    <t>trichloroethene</t>
  </si>
  <si>
    <t>Cr Hex</t>
  </si>
  <si>
    <t>Dioxin &amp; Furan</t>
  </si>
  <si>
    <t>Halogens</t>
  </si>
  <si>
    <t>Particulate</t>
  </si>
  <si>
    <t>High Btu Liq</t>
  </si>
  <si>
    <t>Organic Liq</t>
  </si>
  <si>
    <t>Aqueous Liq</t>
  </si>
  <si>
    <t>Organic Slurry</t>
  </si>
  <si>
    <t>Materials</t>
  </si>
  <si>
    <t>Btu/lb</t>
  </si>
  <si>
    <t>wt %</t>
  </si>
  <si>
    <t>g/hr</t>
  </si>
  <si>
    <t>Wt Fact</t>
  </si>
  <si>
    <t>Full ND</t>
  </si>
  <si>
    <t>4D 2378</t>
  </si>
  <si>
    <t>4D Other</t>
  </si>
  <si>
    <t>4D Total</t>
  </si>
  <si>
    <t>5D 12378</t>
  </si>
  <si>
    <t>5D Other</t>
  </si>
  <si>
    <t>5D Total</t>
  </si>
  <si>
    <t>6D 123478</t>
  </si>
  <si>
    <t>6D 123678</t>
  </si>
  <si>
    <t>6D 123789</t>
  </si>
  <si>
    <t>6D Other</t>
  </si>
  <si>
    <t>6D Total</t>
  </si>
  <si>
    <t>7D 1234678</t>
  </si>
  <si>
    <t>7D Other</t>
  </si>
  <si>
    <t>7D Total</t>
  </si>
  <si>
    <t>8D</t>
  </si>
  <si>
    <t>4F 2378</t>
  </si>
  <si>
    <t>4F Other</t>
  </si>
  <si>
    <t>4F Total</t>
  </si>
  <si>
    <t>5F 12378</t>
  </si>
  <si>
    <t>5F 23478</t>
  </si>
  <si>
    <t>5F Other</t>
  </si>
  <si>
    <t>5F Total</t>
  </si>
  <si>
    <t>6F 123478</t>
  </si>
  <si>
    <t>6F 123678</t>
  </si>
  <si>
    <t>6F 123789</t>
  </si>
  <si>
    <t>6F 234678</t>
  </si>
  <si>
    <t>6F Other</t>
  </si>
  <si>
    <t>6F Total</t>
  </si>
  <si>
    <t>7F 1234678</t>
  </si>
  <si>
    <t>7F 1234789</t>
  </si>
  <si>
    <t>7F Other</t>
  </si>
  <si>
    <t>7F Total</t>
  </si>
  <si>
    <t>8F</t>
  </si>
  <si>
    <t>Total PCDD/PCDF</t>
  </si>
  <si>
    <t>R9</t>
  </si>
  <si>
    <t>R10</t>
  </si>
  <si>
    <t>R11</t>
  </si>
  <si>
    <t>Condition Description</t>
  </si>
  <si>
    <t>Combustor Class</t>
  </si>
  <si>
    <t>Combustor Type</t>
  </si>
  <si>
    <t>Rotary kiln</t>
  </si>
  <si>
    <t>Rotary Kiln, Secondary Combustion Chamber, Waste Heat Boiler.  5 steam atomized liquid waste nozzles on front kiln wall</t>
  </si>
  <si>
    <t>Stack Gas Emissions 1</t>
  </si>
  <si>
    <t>Stack Gas Emissions 2</t>
  </si>
  <si>
    <t>Feedstreams 2</t>
  </si>
  <si>
    <t>Feedstreams 1</t>
  </si>
  <si>
    <t>1995 Annual Performance Test Emission Results, Waste Technologies Industries, E. Liverpool, Ohio, Prepared by ENSR Consulting and Engineering, Project # 7136-017-400, November 1995</t>
  </si>
  <si>
    <t>Preliminary Testing Results for the Enhanced Carbon Injection System, July 30, 1993</t>
  </si>
  <si>
    <t>Quarterly Test Emission Results for Lead and Particulate Matter, Waste Technologies Industries, E. Liverpool, Ohio, Prepared by ENSR Consulting and Engineering, Project # 7136-015-400, March 1995</t>
  </si>
  <si>
    <t>Quarterly Test Emission Results for Lead and Particulate Matter, Waste Technologies Industries, E. Liverpool, Ohio, Prepared by ENSR Consulting and Engineering, Project # 7136-012-400, September 1994</t>
  </si>
  <si>
    <t>Quarterly Test Emission Results for Lead and Particulate Matter, Waste Technologies Industries, E. Liverpool, Ohio, Prepared by ENSR Consulting and Engineering, Project # 7136-009-400, June 1994</t>
  </si>
  <si>
    <t>April 1994 Quarterly Test Emission Results for Lead and Particulate Matter, Waste Technologies Industries, E. Liverpool, Ohio, Prepared by ENSR Consulting and Engineering, Project # 7136-014-400, January 1995</t>
  </si>
  <si>
    <t>April 1994 Quarterly Test Emission Results for PCDDs/PCDFs and Particulate Matter, Waste Technologies Industries, E. Liverpool, Ohio, Prepared by ENSR Consulting and Engineering, Project # 7136-009-400, May 1994</t>
  </si>
  <si>
    <t>Final Trial Burn Report for the Rotary Kiln Incinerator, Waste Technologies Industries, East Liverpool, Ohio, Prepared by ENSR, Document Number 7136-001-800, May 1993</t>
  </si>
  <si>
    <t>ENSR</t>
  </si>
  <si>
    <t>Final Trial Burn Report for Condition 2, Waste Technologies Industries, East Liverpool, Ohio, Prepared by ENSR, Document Number 7136-071-400, April 1994</t>
  </si>
  <si>
    <t>Mercury Removal Efficiency Stack Testing Report, WTI Facility, East Liverpool, Ohio, December 2, 1993</t>
  </si>
  <si>
    <t xml:space="preserve"> </t>
  </si>
  <si>
    <t>Quarterly Test Emission Results, Waste Technologies Industries, E. Liverpool, Ohio, Prepared by ENSR Consulting and Engineering, August 1994</t>
  </si>
  <si>
    <t>Quarterly Test Emission Results, Waste Technologies Industries, E. Liverpool, Ohio, Prepared by ENSR Consulting and Engineering, December 1994</t>
  </si>
  <si>
    <t>Demonstration of Carbon Injection Testing System, Provided by Region 5 EPA, February 1994</t>
  </si>
  <si>
    <t>22211</t>
  </si>
  <si>
    <t>F</t>
  </si>
  <si>
    <t>22212</t>
  </si>
  <si>
    <t>22213</t>
  </si>
  <si>
    <t>in H2O</t>
  </si>
  <si>
    <t>WS pH</t>
  </si>
  <si>
    <t>22210</t>
  </si>
  <si>
    <t>kVA</t>
  </si>
  <si>
    <t>WS Temperature</t>
  </si>
  <si>
    <t>Boiler Exit Temperature</t>
  </si>
  <si>
    <t>ESP Temperature</t>
  </si>
  <si>
    <t>WS Pressure Drop</t>
  </si>
  <si>
    <t>Afterburner Temperature</t>
  </si>
  <si>
    <t>ESP Power</t>
  </si>
  <si>
    <t>Process Information 2</t>
  </si>
  <si>
    <t>Total Chlorine</t>
  </si>
  <si>
    <t>E1</t>
  </si>
  <si>
    <t>E2</t>
  </si>
  <si>
    <t>E3</t>
  </si>
  <si>
    <t>E4</t>
  </si>
  <si>
    <t>HC (RA)</t>
  </si>
  <si>
    <t>b1</t>
  </si>
  <si>
    <t>b2</t>
  </si>
  <si>
    <t>b3</t>
  </si>
  <si>
    <t>b4</t>
  </si>
  <si>
    <t>b5</t>
  </si>
  <si>
    <t>b6</t>
  </si>
  <si>
    <t>E5</t>
  </si>
  <si>
    <t>Cond Dates</t>
  </si>
  <si>
    <t>September 11-14, 1995</t>
  </si>
  <si>
    <t>October 6-7, 1993</t>
  </si>
  <si>
    <t>Number of Sister Facilities</t>
  </si>
  <si>
    <t>Commercial incinerator</t>
  </si>
  <si>
    <t>APCS Detailed Acronym</t>
  </si>
  <si>
    <t>APCS General Class</t>
  </si>
  <si>
    <t>Liq, solid, sludge</t>
  </si>
  <si>
    <t>source</t>
  </si>
  <si>
    <t>cond</t>
  </si>
  <si>
    <t>emiss 1</t>
  </si>
  <si>
    <t>emiss 2</t>
  </si>
  <si>
    <t>feed 1</t>
  </si>
  <si>
    <t>feed 2</t>
  </si>
  <si>
    <t>process 1</t>
  </si>
  <si>
    <t>process 2</t>
  </si>
  <si>
    <t>df c10</t>
  </si>
  <si>
    <t>df c11</t>
  </si>
  <si>
    <t>df c12</t>
  </si>
  <si>
    <t>df c13</t>
  </si>
  <si>
    <t>df c1</t>
  </si>
  <si>
    <t>df c2</t>
  </si>
  <si>
    <t>df c3</t>
  </si>
  <si>
    <t>df c4</t>
  </si>
  <si>
    <t>df c5</t>
  </si>
  <si>
    <t>df c6</t>
  </si>
  <si>
    <t>df c7</t>
  </si>
  <si>
    <t>df b3</t>
  </si>
  <si>
    <t>Feedstream Number</t>
  </si>
  <si>
    <t>Feed Class</t>
  </si>
  <si>
    <t>Heating Value</t>
  </si>
  <si>
    <t>Liq HW</t>
  </si>
  <si>
    <t>Slurry HW</t>
  </si>
  <si>
    <t>Raw Material</t>
  </si>
  <si>
    <t>F1</t>
  </si>
  <si>
    <t>F2</t>
  </si>
  <si>
    <t>F3</t>
  </si>
  <si>
    <t>F4</t>
  </si>
  <si>
    <t>F5</t>
  </si>
  <si>
    <t>F6</t>
  </si>
  <si>
    <t>Copper</t>
  </si>
  <si>
    <t>Feed Class 2</t>
  </si>
  <si>
    <t>RM</t>
  </si>
  <si>
    <t>Waste Heat Boiler/Spray Dryer/Carbon Injection/3-field dry Electrostatic Precipitator with electric impulse rapping/Quench/2-section Packed Bed Scrubber with venturi and mist eliminators.  ESP: Environmental Elements, 750 mADC seconary current, rigid electrode design, automatic controller for spark rate or secondary volatage limit, sized for a dust loading of 12.2 gr/dscf.  Packed bed scrubber and venturi Ring Jet, dp 28 in H2O. Carbon injection added afer first trial burn.</t>
  </si>
  <si>
    <t>Estimated Firing Rate</t>
  </si>
  <si>
    <t>WHB, CI, ESP, LEWS</t>
  </si>
  <si>
    <t>N</t>
  </si>
  <si>
    <t>df b4</t>
  </si>
  <si>
    <t>df b5</t>
  </si>
  <si>
    <t>HG STACK TESTING W/ ENHANCED CARBON INJECTION SYSTEM</t>
  </si>
  <si>
    <t>Run 7</t>
  </si>
  <si>
    <t>Run 8</t>
  </si>
  <si>
    <t>High Btu and Organic Lance Fed Wastes (Aqueous, Sludge and Slurry Lance Fed Wastes not burned in this test), Drum Wastes, Crane Fed Bulk Wastes; Bulk and containerized solids, pumpable liquids/sludges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</si>
</sst>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0.0000E+00"/>
    <numFmt numFmtId="178" formatCode="0.000E+00"/>
    <numFmt numFmtId="179" formatCode="0.00000000000"/>
    <numFmt numFmtId="180" formatCode="0.00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&quot;$&quot;#,##0.000"/>
    <numFmt numFmtId="185" formatCode="mm/dd/yy"/>
  </numFmts>
  <fonts count="8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top"/>
    </xf>
    <xf numFmtId="166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Font="1" applyAlignment="1">
      <alignment/>
    </xf>
    <xf numFmtId="166" fontId="0" fillId="0" borderId="0" xfId="0" applyNumberFormat="1" applyFont="1" applyFill="1" applyBorder="1" applyAlignment="1">
      <alignment horizontal="right"/>
    </xf>
    <xf numFmtId="1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" fontId="0" fillId="0" borderId="0" xfId="0" applyNumberFormat="1" applyAlignment="1">
      <alignment/>
    </xf>
    <xf numFmtId="0" fontId="6" fillId="0" borderId="0" xfId="0" applyFont="1" applyAlignment="1">
      <alignment horizontal="left" indent="4"/>
    </xf>
    <xf numFmtId="167" fontId="0" fillId="0" borderId="0" xfId="0" applyNumberFormat="1" applyAlignment="1">
      <alignment/>
    </xf>
    <xf numFmtId="174" fontId="0" fillId="0" borderId="0" xfId="0" applyNumberFormat="1" applyFont="1" applyFill="1" applyBorder="1" applyAlignment="1">
      <alignment horizontal="right"/>
    </xf>
    <xf numFmtId="174" fontId="0" fillId="0" borderId="0" xfId="0" applyNumberFormat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67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 horizontal="right"/>
    </xf>
    <xf numFmtId="21" fontId="0" fillId="0" borderId="0" xfId="0" applyNumberFormat="1" applyAlignment="1">
      <alignment/>
    </xf>
    <xf numFmtId="21" fontId="0" fillId="0" borderId="0" xfId="0" applyNumberFormat="1" applyFont="1" applyAlignment="1">
      <alignment/>
    </xf>
    <xf numFmtId="0" fontId="0" fillId="0" borderId="3" xfId="0" applyBorder="1" applyAlignment="1">
      <alignment horizontal="centerContinuous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 horizontal="left"/>
    </xf>
    <xf numFmtId="166" fontId="0" fillId="0" borderId="0" xfId="0" applyNumberFormat="1" applyFont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64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17" fontId="0" fillId="0" borderId="0" xfId="0" applyNumberFormat="1" applyFont="1" applyAlignment="1">
      <alignment horizontal="left"/>
    </xf>
    <xf numFmtId="17" fontId="0" fillId="0" borderId="0" xfId="0" applyNumberFormat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15" fontId="0" fillId="0" borderId="0" xfId="0" applyNumberFormat="1" applyAlignment="1">
      <alignment horizontal="left"/>
    </xf>
    <xf numFmtId="0" fontId="5" fillId="0" borderId="0" xfId="0" applyFont="1" applyAlignment="1">
      <alignment/>
    </xf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4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7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0" fontId="0" fillId="0" borderId="0" xfId="0" applyAlignment="1">
      <alignment horizontal="centerContinuous"/>
    </xf>
    <xf numFmtId="167" fontId="0" fillId="0" borderId="0" xfId="0" applyNumberFormat="1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2"/>
  <sheetViews>
    <sheetView tabSelected="1" workbookViewId="0" topLeftCell="A1">
      <selection activeCell="B1" sqref="B1"/>
    </sheetView>
  </sheetViews>
  <sheetFormatPr defaultColWidth="9.140625" defaultRowHeight="12.75"/>
  <sheetData>
    <row r="1" ht="12.75">
      <c r="A1" t="s">
        <v>441</v>
      </c>
    </row>
    <row r="2" ht="12.75">
      <c r="A2" t="s">
        <v>442</v>
      </c>
    </row>
    <row r="3" ht="12.75">
      <c r="A3" t="s">
        <v>443</v>
      </c>
    </row>
    <row r="4" ht="12.75">
      <c r="A4" t="s">
        <v>444</v>
      </c>
    </row>
    <row r="5" ht="12.75">
      <c r="A5" t="s">
        <v>445</v>
      </c>
    </row>
    <row r="6" ht="12.75">
      <c r="A6" t="s">
        <v>446</v>
      </c>
    </row>
    <row r="7" ht="12.75">
      <c r="A7" t="s">
        <v>447</v>
      </c>
    </row>
    <row r="8" ht="12.75">
      <c r="A8" t="s">
        <v>448</v>
      </c>
    </row>
    <row r="9" ht="12.75">
      <c r="A9" t="s">
        <v>449</v>
      </c>
    </row>
    <row r="10" ht="12.75">
      <c r="A10" t="s">
        <v>450</v>
      </c>
    </row>
    <row r="11" ht="12.75">
      <c r="A11" t="s">
        <v>451</v>
      </c>
    </row>
    <row r="12" ht="12.75">
      <c r="A12" t="s">
        <v>452</v>
      </c>
    </row>
    <row r="13" ht="12.75">
      <c r="A13" t="s">
        <v>453</v>
      </c>
    </row>
    <row r="14" ht="12.75">
      <c r="A14" t="s">
        <v>454</v>
      </c>
    </row>
    <row r="15" ht="12.75">
      <c r="A15" t="s">
        <v>455</v>
      </c>
    </row>
    <row r="16" ht="12.75">
      <c r="A16" t="s">
        <v>456</v>
      </c>
    </row>
    <row r="17" ht="12.75">
      <c r="A17" t="s">
        <v>457</v>
      </c>
    </row>
    <row r="18" ht="12.75">
      <c r="A18" t="s">
        <v>458</v>
      </c>
    </row>
    <row r="19" ht="12.75">
      <c r="A19" t="s">
        <v>459</v>
      </c>
    </row>
    <row r="20" ht="12.75">
      <c r="A20" t="s">
        <v>460</v>
      </c>
    </row>
    <row r="21" ht="12.75">
      <c r="A21" t="s">
        <v>480</v>
      </c>
    </row>
    <row r="22" ht="12.75">
      <c r="A22" t="s">
        <v>481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7"/>
  <sheetViews>
    <sheetView workbookViewId="0" topLeftCell="N1">
      <selection activeCell="B2" sqref="B2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11.28125" style="0" customWidth="1"/>
    <col min="4" max="4" width="4.421875" style="0" customWidth="1"/>
    <col min="5" max="5" width="9.421875" style="0" customWidth="1"/>
    <col min="6" max="6" width="9.8515625" style="0" customWidth="1"/>
    <col min="8" max="8" width="9.8515625" style="0" customWidth="1"/>
    <col min="9" max="9" width="3.421875" style="50" customWidth="1"/>
    <col min="11" max="11" width="9.28125" style="0" customWidth="1"/>
    <col min="13" max="13" width="9.28125" style="0" customWidth="1"/>
    <col min="14" max="14" width="4.00390625" style="0" customWidth="1"/>
    <col min="16" max="16" width="9.00390625" style="0" customWidth="1"/>
    <col min="18" max="18" width="9.00390625" style="0" customWidth="1"/>
    <col min="19" max="19" width="4.7109375" style="0" customWidth="1"/>
    <col min="21" max="21" width="9.00390625" style="0" customWidth="1"/>
    <col min="23" max="23" width="9.00390625" style="0" customWidth="1"/>
    <col min="24" max="24" width="4.57421875" style="0" customWidth="1"/>
  </cols>
  <sheetData>
    <row r="1" spans="1:24" ht="12.75">
      <c r="A1" s="41" t="s">
        <v>72</v>
      </c>
      <c r="B1" s="27"/>
      <c r="C1" s="27"/>
      <c r="D1" s="27"/>
      <c r="E1" s="34"/>
      <c r="F1" s="35"/>
      <c r="G1" s="34"/>
      <c r="H1" s="35"/>
      <c r="I1" s="38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ht="12.75">
      <c r="A2" s="27" t="s">
        <v>479</v>
      </c>
      <c r="B2" s="27"/>
      <c r="C2" s="27"/>
      <c r="D2" s="27"/>
      <c r="E2" s="34"/>
      <c r="F2" s="35"/>
      <c r="G2" s="34"/>
      <c r="H2" s="35"/>
      <c r="I2" s="38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ht="12.75">
      <c r="A3" s="27" t="s">
        <v>20</v>
      </c>
      <c r="B3" s="27"/>
      <c r="C3" s="9" t="s">
        <v>129</v>
      </c>
      <c r="D3" s="9"/>
      <c r="E3" s="34"/>
      <c r="F3" s="35"/>
      <c r="G3" s="34"/>
      <c r="H3" s="35"/>
      <c r="I3" s="38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2.75">
      <c r="A4" s="27" t="s">
        <v>21</v>
      </c>
      <c r="B4" s="27"/>
      <c r="C4" s="9" t="s">
        <v>140</v>
      </c>
      <c r="D4" s="9"/>
      <c r="E4" s="36"/>
      <c r="F4" s="37"/>
      <c r="G4" s="36"/>
      <c r="H4" s="37"/>
      <c r="I4" s="38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</row>
    <row r="5" spans="1:24" ht="12.75">
      <c r="A5" s="27" t="s">
        <v>22</v>
      </c>
      <c r="B5" s="27"/>
      <c r="C5" s="12" t="s">
        <v>141</v>
      </c>
      <c r="D5" s="12"/>
      <c r="E5" s="12"/>
      <c r="F5" s="12"/>
      <c r="G5" s="12"/>
      <c r="H5" s="12"/>
      <c r="I5" s="45"/>
      <c r="J5" s="12"/>
      <c r="K5" s="34"/>
      <c r="L5" s="12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</row>
    <row r="6" spans="1:24" ht="12.75">
      <c r="A6" s="27"/>
      <c r="B6" s="27"/>
      <c r="C6" s="29"/>
      <c r="D6" s="29"/>
      <c r="E6" s="38"/>
      <c r="F6" s="35"/>
      <c r="G6" s="38"/>
      <c r="H6" s="35"/>
      <c r="I6" s="38"/>
      <c r="J6" s="38"/>
      <c r="K6" s="34"/>
      <c r="L6" s="38"/>
      <c r="M6" s="34"/>
      <c r="N6" s="34"/>
      <c r="O6" s="38"/>
      <c r="P6" s="34"/>
      <c r="Q6" s="38"/>
      <c r="R6" s="34"/>
      <c r="S6" s="34"/>
      <c r="T6" s="38"/>
      <c r="U6" s="34"/>
      <c r="V6" s="38"/>
      <c r="W6" s="34"/>
      <c r="X6" s="34"/>
    </row>
    <row r="7" spans="1:28" s="88" customFormat="1" ht="12.75">
      <c r="A7" s="27"/>
      <c r="B7" s="27"/>
      <c r="C7" s="29" t="s">
        <v>23</v>
      </c>
      <c r="D7" s="29"/>
      <c r="E7" s="39" t="s">
        <v>54</v>
      </c>
      <c r="F7" s="39"/>
      <c r="G7" s="39"/>
      <c r="H7" s="39"/>
      <c r="I7" s="11"/>
      <c r="J7" s="39" t="s">
        <v>109</v>
      </c>
      <c r="K7" s="39"/>
      <c r="L7" s="39"/>
      <c r="M7" s="39"/>
      <c r="N7" s="11"/>
      <c r="O7" s="39" t="s">
        <v>55</v>
      </c>
      <c r="P7" s="39"/>
      <c r="Q7" s="39"/>
      <c r="R7" s="39"/>
      <c r="S7" s="11"/>
      <c r="T7" s="39" t="s">
        <v>164</v>
      </c>
      <c r="U7" s="39"/>
      <c r="V7" s="39"/>
      <c r="W7" s="39"/>
      <c r="X7" s="11"/>
      <c r="Y7" s="39" t="s">
        <v>165</v>
      </c>
      <c r="Z7" s="39"/>
      <c r="AA7" s="39"/>
      <c r="AB7" s="39"/>
    </row>
    <row r="8" spans="1:28" s="88" customFormat="1" ht="12.75">
      <c r="A8" s="27"/>
      <c r="B8" s="27"/>
      <c r="C8" s="29" t="s">
        <v>24</v>
      </c>
      <c r="D8" s="27"/>
      <c r="E8" s="38" t="s">
        <v>25</v>
      </c>
      <c r="F8" s="37" t="s">
        <v>26</v>
      </c>
      <c r="G8" s="38" t="s">
        <v>25</v>
      </c>
      <c r="H8" s="37" t="s">
        <v>26</v>
      </c>
      <c r="I8" s="38"/>
      <c r="J8" s="38" t="s">
        <v>25</v>
      </c>
      <c r="K8" s="38" t="s">
        <v>27</v>
      </c>
      <c r="L8" s="38" t="s">
        <v>25</v>
      </c>
      <c r="M8" s="38" t="s">
        <v>27</v>
      </c>
      <c r="N8" s="34"/>
      <c r="O8" s="38" t="s">
        <v>25</v>
      </c>
      <c r="P8" s="38" t="s">
        <v>27</v>
      </c>
      <c r="Q8" s="38" t="s">
        <v>25</v>
      </c>
      <c r="R8" s="38" t="s">
        <v>27</v>
      </c>
      <c r="S8" s="34"/>
      <c r="T8" s="38" t="s">
        <v>25</v>
      </c>
      <c r="U8" s="38" t="s">
        <v>27</v>
      </c>
      <c r="V8" s="38" t="s">
        <v>25</v>
      </c>
      <c r="W8" s="38" t="s">
        <v>27</v>
      </c>
      <c r="X8" s="34"/>
      <c r="Y8" s="38" t="s">
        <v>25</v>
      </c>
      <c r="Z8" s="38" t="s">
        <v>27</v>
      </c>
      <c r="AA8" s="38" t="s">
        <v>25</v>
      </c>
      <c r="AB8" s="38" t="s">
        <v>27</v>
      </c>
    </row>
    <row r="9" spans="1:28" s="88" customFormat="1" ht="12.75">
      <c r="A9" s="27"/>
      <c r="B9" s="27"/>
      <c r="C9" s="29"/>
      <c r="D9" s="27"/>
      <c r="E9" s="38" t="s">
        <v>343</v>
      </c>
      <c r="F9" s="38" t="s">
        <v>343</v>
      </c>
      <c r="G9" s="38" t="s">
        <v>71</v>
      </c>
      <c r="H9" s="37" t="s">
        <v>71</v>
      </c>
      <c r="I9" s="38"/>
      <c r="J9" s="38" t="s">
        <v>343</v>
      </c>
      <c r="K9" s="38" t="s">
        <v>343</v>
      </c>
      <c r="L9" s="38" t="s">
        <v>71</v>
      </c>
      <c r="M9" s="37" t="s">
        <v>71</v>
      </c>
      <c r="N9" s="34"/>
      <c r="O9" s="38" t="s">
        <v>343</v>
      </c>
      <c r="P9" s="38" t="s">
        <v>343</v>
      </c>
      <c r="Q9" s="38" t="s">
        <v>71</v>
      </c>
      <c r="R9" s="37" t="s">
        <v>71</v>
      </c>
      <c r="S9" s="34"/>
      <c r="T9" s="38" t="s">
        <v>343</v>
      </c>
      <c r="U9" s="38" t="s">
        <v>343</v>
      </c>
      <c r="V9" s="38" t="s">
        <v>71</v>
      </c>
      <c r="W9" s="37" t="s">
        <v>71</v>
      </c>
      <c r="X9" s="34"/>
      <c r="Y9" s="38" t="s">
        <v>343</v>
      </c>
      <c r="Z9" s="38" t="s">
        <v>343</v>
      </c>
      <c r="AA9" s="38" t="s">
        <v>71</v>
      </c>
      <c r="AB9" s="37" t="s">
        <v>71</v>
      </c>
    </row>
    <row r="10" spans="1:28" ht="12.75">
      <c r="A10" s="27" t="s">
        <v>103</v>
      </c>
      <c r="B10" s="27"/>
      <c r="C10" s="27"/>
      <c r="D10" s="27"/>
      <c r="E10" s="34"/>
      <c r="F10" s="35"/>
      <c r="G10" s="34"/>
      <c r="H10" s="35"/>
      <c r="I10" s="38"/>
      <c r="J10" s="34"/>
      <c r="K10" s="34"/>
      <c r="L10" s="34"/>
      <c r="M10" s="34"/>
      <c r="N10" s="34"/>
      <c r="O10" s="30"/>
      <c r="P10" s="34"/>
      <c r="Q10" s="34"/>
      <c r="R10" s="34"/>
      <c r="S10" s="34"/>
      <c r="T10" s="30"/>
      <c r="U10" s="34"/>
      <c r="V10" s="34"/>
      <c r="W10" s="34"/>
      <c r="X10" s="34"/>
      <c r="Y10" s="30"/>
      <c r="Z10" s="34"/>
      <c r="AA10" s="34"/>
      <c r="AB10" s="34"/>
    </row>
    <row r="11" spans="1:28" ht="12.75">
      <c r="A11" s="27"/>
      <c r="B11" s="27" t="s">
        <v>28</v>
      </c>
      <c r="C11" s="29">
        <v>1</v>
      </c>
      <c r="D11" t="s">
        <v>102</v>
      </c>
      <c r="E11">
        <v>1.2</v>
      </c>
      <c r="F11" s="32">
        <f aca="true" t="shared" si="0" ref="F11:H35">IF(E11="","",E11*$C11)</f>
        <v>1.2</v>
      </c>
      <c r="G11" s="32">
        <f aca="true" t="shared" si="1" ref="G11:G35">IF(E11=0,"",IF(D11="nd",E11/2,E11))</f>
        <v>0.6</v>
      </c>
      <c r="H11" s="32">
        <f t="shared" si="0"/>
        <v>0.6</v>
      </c>
      <c r="I11" t="s">
        <v>102</v>
      </c>
      <c r="J11">
        <v>1.2</v>
      </c>
      <c r="K11" s="32">
        <f aca="true" t="shared" si="2" ref="K11:M35">IF(J11="","",J11*$C11)</f>
        <v>1.2</v>
      </c>
      <c r="L11" s="32">
        <f aca="true" t="shared" si="3" ref="L11:L35">IF(J11=0,"",IF(I11="nd",J11/2,J11))</f>
        <v>0.6</v>
      </c>
      <c r="M11" s="32">
        <f t="shared" si="2"/>
        <v>0.6</v>
      </c>
      <c r="N11" t="s">
        <v>102</v>
      </c>
      <c r="O11">
        <v>2.2</v>
      </c>
      <c r="P11" s="40">
        <f aca="true" t="shared" si="4" ref="P11:R35">IF(O11="","",O11*$C11)</f>
        <v>2.2</v>
      </c>
      <c r="Q11" s="40">
        <f aca="true" t="shared" si="5" ref="Q11:Q35">IF(O11=0,"",IF(N11="nd",O11/2,O11))</f>
        <v>1.1</v>
      </c>
      <c r="R11" s="40">
        <f t="shared" si="4"/>
        <v>1.1</v>
      </c>
      <c r="S11" t="s">
        <v>102</v>
      </c>
      <c r="T11">
        <v>1.3</v>
      </c>
      <c r="U11" s="40">
        <f aca="true" t="shared" si="6" ref="U11:W35">IF(T11="","",T11*$C11)</f>
        <v>1.3</v>
      </c>
      <c r="V11" s="40">
        <f aca="true" t="shared" si="7" ref="V11:V35">IF(T11=0,"",IF(S11="nd",T11/2,T11))</f>
        <v>0.65</v>
      </c>
      <c r="W11" s="40">
        <f t="shared" si="6"/>
        <v>0.65</v>
      </c>
      <c r="X11" t="s">
        <v>102</v>
      </c>
      <c r="Y11">
        <v>1.5</v>
      </c>
      <c r="Z11" s="40">
        <f aca="true" t="shared" si="8" ref="Z11:AB35">IF(Y11="","",Y11*$C11)</f>
        <v>1.5</v>
      </c>
      <c r="AA11" s="40">
        <f aca="true" t="shared" si="9" ref="AA11:AA35">IF(Y11=0,"",IF(X11="nd",Y11/2,Y11))</f>
        <v>0.75</v>
      </c>
      <c r="AB11" s="40">
        <f t="shared" si="8"/>
        <v>0.75</v>
      </c>
    </row>
    <row r="12" spans="1:28" ht="12.75">
      <c r="A12" s="27"/>
      <c r="B12" s="27" t="s">
        <v>93</v>
      </c>
      <c r="C12" s="29">
        <v>0</v>
      </c>
      <c r="E12">
        <v>3.7</v>
      </c>
      <c r="F12" s="40">
        <f t="shared" si="0"/>
        <v>0</v>
      </c>
      <c r="G12" s="40">
        <f t="shared" si="1"/>
        <v>3.7</v>
      </c>
      <c r="H12" s="40">
        <f t="shared" si="0"/>
        <v>0</v>
      </c>
      <c r="I12"/>
      <c r="J12">
        <v>3</v>
      </c>
      <c r="K12" s="32">
        <f t="shared" si="2"/>
        <v>0</v>
      </c>
      <c r="L12" s="40">
        <f t="shared" si="3"/>
        <v>3</v>
      </c>
      <c r="M12" s="32">
        <f t="shared" si="2"/>
        <v>0</v>
      </c>
      <c r="O12">
        <v>62</v>
      </c>
      <c r="P12" s="40">
        <f t="shared" si="4"/>
        <v>0</v>
      </c>
      <c r="Q12" s="40">
        <f t="shared" si="5"/>
        <v>62</v>
      </c>
      <c r="R12" s="40">
        <f t="shared" si="4"/>
        <v>0</v>
      </c>
      <c r="T12">
        <v>3.3</v>
      </c>
      <c r="U12" s="40">
        <f t="shared" si="6"/>
        <v>0</v>
      </c>
      <c r="V12" s="40">
        <f t="shared" si="7"/>
        <v>3.3</v>
      </c>
      <c r="W12" s="40">
        <f t="shared" si="6"/>
        <v>0</v>
      </c>
      <c r="Y12">
        <v>53</v>
      </c>
      <c r="Z12" s="40">
        <f t="shared" si="8"/>
        <v>0</v>
      </c>
      <c r="AA12" s="40">
        <f t="shared" si="9"/>
        <v>53</v>
      </c>
      <c r="AB12" s="40">
        <f t="shared" si="8"/>
        <v>0</v>
      </c>
    </row>
    <row r="13" spans="1:28" ht="12.75">
      <c r="A13" s="27"/>
      <c r="B13" s="27" t="s">
        <v>29</v>
      </c>
      <c r="C13" s="29">
        <v>0.5</v>
      </c>
      <c r="E13">
        <v>1.8</v>
      </c>
      <c r="F13" s="32">
        <f t="shared" si="0"/>
        <v>0.9</v>
      </c>
      <c r="G13" s="32">
        <f t="shared" si="1"/>
        <v>1.8</v>
      </c>
      <c r="H13" s="32">
        <f t="shared" si="0"/>
        <v>0.9</v>
      </c>
      <c r="I13"/>
      <c r="J13">
        <v>2</v>
      </c>
      <c r="K13" s="32">
        <f t="shared" si="2"/>
        <v>1</v>
      </c>
      <c r="L13" s="32">
        <f t="shared" si="3"/>
        <v>2</v>
      </c>
      <c r="M13" s="32">
        <f t="shared" si="2"/>
        <v>1</v>
      </c>
      <c r="O13">
        <v>7.9</v>
      </c>
      <c r="P13" s="40">
        <f t="shared" si="4"/>
        <v>3.95</v>
      </c>
      <c r="Q13" s="40">
        <f t="shared" si="5"/>
        <v>7.9</v>
      </c>
      <c r="R13" s="40">
        <f t="shared" si="4"/>
        <v>3.95</v>
      </c>
      <c r="T13">
        <v>1.9</v>
      </c>
      <c r="U13" s="40">
        <f t="shared" si="6"/>
        <v>0.95</v>
      </c>
      <c r="V13" s="40">
        <f t="shared" si="7"/>
        <v>1.9</v>
      </c>
      <c r="W13" s="40">
        <f t="shared" si="6"/>
        <v>0.95</v>
      </c>
      <c r="Y13">
        <v>3.8</v>
      </c>
      <c r="Z13" s="40">
        <f t="shared" si="8"/>
        <v>1.9</v>
      </c>
      <c r="AA13" s="40">
        <f t="shared" si="9"/>
        <v>3.8</v>
      </c>
      <c r="AB13" s="40">
        <f t="shared" si="8"/>
        <v>1.9</v>
      </c>
    </row>
    <row r="14" spans="1:28" ht="12.75">
      <c r="A14" s="27"/>
      <c r="B14" s="27" t="s">
        <v>94</v>
      </c>
      <c r="C14" s="29">
        <v>0</v>
      </c>
      <c r="E14">
        <v>21</v>
      </c>
      <c r="F14" s="40">
        <f t="shared" si="0"/>
        <v>0</v>
      </c>
      <c r="G14" s="40">
        <f t="shared" si="1"/>
        <v>21</v>
      </c>
      <c r="H14" s="40">
        <f t="shared" si="0"/>
        <v>0</v>
      </c>
      <c r="I14"/>
      <c r="J14">
        <v>20</v>
      </c>
      <c r="K14" s="32">
        <f t="shared" si="2"/>
        <v>0</v>
      </c>
      <c r="L14" s="40">
        <f t="shared" si="3"/>
        <v>20</v>
      </c>
      <c r="M14" s="32">
        <f t="shared" si="2"/>
        <v>0</v>
      </c>
      <c r="O14">
        <v>88</v>
      </c>
      <c r="P14" s="40">
        <f t="shared" si="4"/>
        <v>0</v>
      </c>
      <c r="Q14" s="40">
        <f t="shared" si="5"/>
        <v>88</v>
      </c>
      <c r="R14" s="40">
        <f t="shared" si="4"/>
        <v>0</v>
      </c>
      <c r="T14">
        <v>22</v>
      </c>
      <c r="U14" s="40">
        <f t="shared" si="6"/>
        <v>0</v>
      </c>
      <c r="V14" s="40">
        <f t="shared" si="7"/>
        <v>22</v>
      </c>
      <c r="W14" s="40">
        <f t="shared" si="6"/>
        <v>0</v>
      </c>
      <c r="Y14">
        <v>65</v>
      </c>
      <c r="Z14" s="40">
        <f t="shared" si="8"/>
        <v>0</v>
      </c>
      <c r="AA14" s="40">
        <f t="shared" si="9"/>
        <v>65</v>
      </c>
      <c r="AB14" s="40">
        <f t="shared" si="8"/>
        <v>0</v>
      </c>
    </row>
    <row r="15" spans="1:28" ht="12.75">
      <c r="A15" s="27"/>
      <c r="B15" s="27" t="s">
        <v>30</v>
      </c>
      <c r="C15" s="29">
        <v>0.1</v>
      </c>
      <c r="E15">
        <v>2.1</v>
      </c>
      <c r="F15" s="32">
        <f t="shared" si="0"/>
        <v>0.21000000000000002</v>
      </c>
      <c r="G15" s="32">
        <f t="shared" si="1"/>
        <v>2.1</v>
      </c>
      <c r="H15" s="32">
        <f t="shared" si="0"/>
        <v>0.21000000000000002</v>
      </c>
      <c r="I15"/>
      <c r="J15">
        <v>2.1</v>
      </c>
      <c r="K15" s="32">
        <f t="shared" si="2"/>
        <v>0.21000000000000002</v>
      </c>
      <c r="L15" s="32">
        <f t="shared" si="3"/>
        <v>2.1</v>
      </c>
      <c r="M15" s="32">
        <f t="shared" si="2"/>
        <v>0.21000000000000002</v>
      </c>
      <c r="O15">
        <v>5.8</v>
      </c>
      <c r="P15" s="40">
        <f t="shared" si="4"/>
        <v>0.58</v>
      </c>
      <c r="Q15" s="40">
        <f t="shared" si="5"/>
        <v>5.8</v>
      </c>
      <c r="R15" s="40">
        <f t="shared" si="4"/>
        <v>0.58</v>
      </c>
      <c r="T15">
        <v>1.7</v>
      </c>
      <c r="U15" s="40">
        <f t="shared" si="6"/>
        <v>0.17</v>
      </c>
      <c r="V15" s="40">
        <f t="shared" si="7"/>
        <v>1.7</v>
      </c>
      <c r="W15" s="40">
        <f t="shared" si="6"/>
        <v>0.17</v>
      </c>
      <c r="Y15">
        <v>2.9</v>
      </c>
      <c r="Z15" s="40">
        <f t="shared" si="8"/>
        <v>0.29</v>
      </c>
      <c r="AA15" s="40">
        <f t="shared" si="9"/>
        <v>2.9</v>
      </c>
      <c r="AB15" s="40">
        <f t="shared" si="8"/>
        <v>0.29</v>
      </c>
    </row>
    <row r="16" spans="1:28" ht="12.75">
      <c r="A16" s="27"/>
      <c r="B16" s="27" t="s">
        <v>31</v>
      </c>
      <c r="C16" s="29">
        <v>0.1</v>
      </c>
      <c r="E16">
        <v>3.2</v>
      </c>
      <c r="F16" s="32">
        <f t="shared" si="0"/>
        <v>0.32000000000000006</v>
      </c>
      <c r="G16" s="32">
        <f t="shared" si="1"/>
        <v>3.2</v>
      </c>
      <c r="H16" s="32">
        <f t="shared" si="0"/>
        <v>0.32000000000000006</v>
      </c>
      <c r="I16"/>
      <c r="J16">
        <v>2.9</v>
      </c>
      <c r="K16" s="32">
        <f t="shared" si="2"/>
        <v>0.29</v>
      </c>
      <c r="L16" s="32">
        <f t="shared" si="3"/>
        <v>2.9</v>
      </c>
      <c r="M16" s="32">
        <f t="shared" si="2"/>
        <v>0.29</v>
      </c>
      <c r="O16">
        <v>7.6</v>
      </c>
      <c r="P16" s="40">
        <f t="shared" si="4"/>
        <v>0.76</v>
      </c>
      <c r="Q16" s="40">
        <f t="shared" si="5"/>
        <v>7.6</v>
      </c>
      <c r="R16" s="40">
        <f t="shared" si="4"/>
        <v>0.76</v>
      </c>
      <c r="T16">
        <v>2.8</v>
      </c>
      <c r="U16" s="40">
        <f t="shared" si="6"/>
        <v>0.27999999999999997</v>
      </c>
      <c r="V16" s="40">
        <f t="shared" si="7"/>
        <v>2.8</v>
      </c>
      <c r="W16" s="40">
        <f t="shared" si="6"/>
        <v>0.27999999999999997</v>
      </c>
      <c r="Y16">
        <v>4.3</v>
      </c>
      <c r="Z16" s="40">
        <f t="shared" si="8"/>
        <v>0.43</v>
      </c>
      <c r="AA16" s="40">
        <f t="shared" si="9"/>
        <v>4.3</v>
      </c>
      <c r="AB16" s="40">
        <f t="shared" si="8"/>
        <v>0.43</v>
      </c>
    </row>
    <row r="17" spans="1:28" ht="12.75">
      <c r="A17" s="27"/>
      <c r="B17" s="27" t="s">
        <v>32</v>
      </c>
      <c r="C17" s="29">
        <v>0.1</v>
      </c>
      <c r="E17">
        <v>2.3</v>
      </c>
      <c r="F17" s="32">
        <f t="shared" si="0"/>
        <v>0.22999999999999998</v>
      </c>
      <c r="G17" s="32">
        <f t="shared" si="1"/>
        <v>2.3</v>
      </c>
      <c r="H17" s="32">
        <f t="shared" si="0"/>
        <v>0.22999999999999998</v>
      </c>
      <c r="I17"/>
      <c r="J17">
        <v>1.9</v>
      </c>
      <c r="K17" s="32">
        <f t="shared" si="2"/>
        <v>0.19</v>
      </c>
      <c r="L17" s="32">
        <f t="shared" si="3"/>
        <v>1.9</v>
      </c>
      <c r="M17" s="32">
        <f t="shared" si="2"/>
        <v>0.19</v>
      </c>
      <c r="O17">
        <v>6.3</v>
      </c>
      <c r="P17" s="40">
        <f t="shared" si="4"/>
        <v>0.63</v>
      </c>
      <c r="Q17" s="40">
        <f t="shared" si="5"/>
        <v>6.3</v>
      </c>
      <c r="R17" s="40">
        <f t="shared" si="4"/>
        <v>0.63</v>
      </c>
      <c r="T17">
        <v>2.1</v>
      </c>
      <c r="U17" s="40">
        <f t="shared" si="6"/>
        <v>0.21000000000000002</v>
      </c>
      <c r="V17" s="40">
        <f t="shared" si="7"/>
        <v>2.1</v>
      </c>
      <c r="W17" s="40">
        <f t="shared" si="6"/>
        <v>0.21000000000000002</v>
      </c>
      <c r="Y17">
        <v>2.9</v>
      </c>
      <c r="Z17" s="40">
        <f t="shared" si="8"/>
        <v>0.29</v>
      </c>
      <c r="AA17" s="40">
        <f t="shared" si="9"/>
        <v>2.9</v>
      </c>
      <c r="AB17" s="40">
        <f t="shared" si="8"/>
        <v>0.29</v>
      </c>
    </row>
    <row r="18" spans="1:28" ht="12.75">
      <c r="A18" s="27"/>
      <c r="B18" s="27" t="s">
        <v>95</v>
      </c>
      <c r="C18" s="29">
        <v>0</v>
      </c>
      <c r="E18">
        <v>30</v>
      </c>
      <c r="F18" s="40">
        <f t="shared" si="0"/>
        <v>0</v>
      </c>
      <c r="G18" s="40">
        <f t="shared" si="1"/>
        <v>30</v>
      </c>
      <c r="H18" s="40">
        <f t="shared" si="0"/>
        <v>0</v>
      </c>
      <c r="I18"/>
      <c r="J18">
        <v>29</v>
      </c>
      <c r="K18" s="32">
        <f t="shared" si="2"/>
        <v>0</v>
      </c>
      <c r="L18" s="40">
        <f t="shared" si="3"/>
        <v>29</v>
      </c>
      <c r="M18" s="32">
        <f t="shared" si="2"/>
        <v>0</v>
      </c>
      <c r="O18">
        <v>78</v>
      </c>
      <c r="P18" s="40">
        <f t="shared" si="4"/>
        <v>0</v>
      </c>
      <c r="Q18" s="40">
        <f t="shared" si="5"/>
        <v>78</v>
      </c>
      <c r="R18" s="40">
        <f t="shared" si="4"/>
        <v>0</v>
      </c>
      <c r="T18">
        <v>27</v>
      </c>
      <c r="U18" s="40">
        <f t="shared" si="6"/>
        <v>0</v>
      </c>
      <c r="V18" s="40">
        <f t="shared" si="7"/>
        <v>27</v>
      </c>
      <c r="W18" s="40">
        <f t="shared" si="6"/>
        <v>0</v>
      </c>
      <c r="Y18">
        <v>50</v>
      </c>
      <c r="Z18" s="40">
        <f t="shared" si="8"/>
        <v>0</v>
      </c>
      <c r="AA18" s="40">
        <f t="shared" si="9"/>
        <v>50</v>
      </c>
      <c r="AB18" s="40">
        <f t="shared" si="8"/>
        <v>0</v>
      </c>
    </row>
    <row r="19" spans="1:28" ht="12.75">
      <c r="A19" s="27"/>
      <c r="B19" s="27" t="s">
        <v>33</v>
      </c>
      <c r="C19" s="29">
        <v>0.01</v>
      </c>
      <c r="E19">
        <v>18</v>
      </c>
      <c r="F19" s="32">
        <f t="shared" si="0"/>
        <v>0.18</v>
      </c>
      <c r="G19" s="32">
        <f t="shared" si="1"/>
        <v>18</v>
      </c>
      <c r="H19" s="32">
        <f t="shared" si="0"/>
        <v>0.18</v>
      </c>
      <c r="I19"/>
      <c r="J19">
        <v>20</v>
      </c>
      <c r="K19" s="32">
        <f t="shared" si="2"/>
        <v>0.2</v>
      </c>
      <c r="L19" s="32">
        <f t="shared" si="3"/>
        <v>20</v>
      </c>
      <c r="M19" s="32">
        <f t="shared" si="2"/>
        <v>0.2</v>
      </c>
      <c r="O19">
        <v>34</v>
      </c>
      <c r="P19" s="40">
        <f t="shared" si="4"/>
        <v>0.34</v>
      </c>
      <c r="Q19" s="40">
        <f t="shared" si="5"/>
        <v>34</v>
      </c>
      <c r="R19" s="40">
        <f t="shared" si="4"/>
        <v>0.34</v>
      </c>
      <c r="T19">
        <v>16</v>
      </c>
      <c r="U19" s="40">
        <f t="shared" si="6"/>
        <v>0.16</v>
      </c>
      <c r="V19" s="40">
        <f t="shared" si="7"/>
        <v>16</v>
      </c>
      <c r="W19" s="40">
        <f t="shared" si="6"/>
        <v>0.16</v>
      </c>
      <c r="Y19">
        <v>17</v>
      </c>
      <c r="Z19" s="40">
        <f t="shared" si="8"/>
        <v>0.17</v>
      </c>
      <c r="AA19" s="40">
        <f t="shared" si="9"/>
        <v>17</v>
      </c>
      <c r="AB19" s="40">
        <f t="shared" si="8"/>
        <v>0.17</v>
      </c>
    </row>
    <row r="20" spans="1:28" ht="12.75">
      <c r="A20" s="27"/>
      <c r="B20" s="27" t="s">
        <v>96</v>
      </c>
      <c r="C20" s="29">
        <v>0</v>
      </c>
      <c r="E20">
        <v>39</v>
      </c>
      <c r="F20" s="40">
        <f t="shared" si="0"/>
        <v>0</v>
      </c>
      <c r="G20" s="40">
        <f t="shared" si="1"/>
        <v>39</v>
      </c>
      <c r="H20" s="40">
        <f t="shared" si="0"/>
        <v>0</v>
      </c>
      <c r="I20"/>
      <c r="J20">
        <v>40</v>
      </c>
      <c r="K20" s="32">
        <f t="shared" si="2"/>
        <v>0</v>
      </c>
      <c r="L20" s="40">
        <f t="shared" si="3"/>
        <v>40</v>
      </c>
      <c r="M20" s="32">
        <f t="shared" si="2"/>
        <v>0</v>
      </c>
      <c r="O20">
        <v>67</v>
      </c>
      <c r="P20" s="40">
        <f t="shared" si="4"/>
        <v>0</v>
      </c>
      <c r="Q20" s="40">
        <f t="shared" si="5"/>
        <v>67</v>
      </c>
      <c r="R20" s="40">
        <f t="shared" si="4"/>
        <v>0</v>
      </c>
      <c r="T20">
        <v>33</v>
      </c>
      <c r="U20" s="40">
        <f t="shared" si="6"/>
        <v>0</v>
      </c>
      <c r="V20" s="40">
        <f t="shared" si="7"/>
        <v>33</v>
      </c>
      <c r="W20" s="40">
        <f t="shared" si="6"/>
        <v>0</v>
      </c>
      <c r="Y20">
        <v>37</v>
      </c>
      <c r="Z20" s="40">
        <f t="shared" si="8"/>
        <v>0</v>
      </c>
      <c r="AA20" s="40">
        <f t="shared" si="9"/>
        <v>37</v>
      </c>
      <c r="AB20" s="40">
        <f t="shared" si="8"/>
        <v>0</v>
      </c>
    </row>
    <row r="21" spans="1:28" ht="12.75">
      <c r="A21" s="27"/>
      <c r="B21" s="27" t="s">
        <v>34</v>
      </c>
      <c r="C21" s="29">
        <v>0.001</v>
      </c>
      <c r="E21">
        <v>85</v>
      </c>
      <c r="F21" s="32">
        <f t="shared" si="0"/>
        <v>0.085</v>
      </c>
      <c r="G21" s="32">
        <f t="shared" si="1"/>
        <v>85</v>
      </c>
      <c r="H21" s="32">
        <f t="shared" si="0"/>
        <v>0.085</v>
      </c>
      <c r="I21"/>
      <c r="J21">
        <v>94</v>
      </c>
      <c r="K21" s="32">
        <f t="shared" si="2"/>
        <v>0.094</v>
      </c>
      <c r="L21" s="40">
        <f t="shared" si="3"/>
        <v>94</v>
      </c>
      <c r="M21" s="32">
        <f t="shared" si="2"/>
        <v>0.094</v>
      </c>
      <c r="O21">
        <v>87</v>
      </c>
      <c r="P21" s="40">
        <f t="shared" si="4"/>
        <v>0.08700000000000001</v>
      </c>
      <c r="Q21" s="40">
        <f t="shared" si="5"/>
        <v>87</v>
      </c>
      <c r="R21" s="40">
        <f t="shared" si="4"/>
        <v>0.08700000000000001</v>
      </c>
      <c r="T21">
        <v>73</v>
      </c>
      <c r="U21" s="40">
        <f t="shared" si="6"/>
        <v>0.073</v>
      </c>
      <c r="V21" s="40">
        <f t="shared" si="7"/>
        <v>73</v>
      </c>
      <c r="W21" s="40">
        <f t="shared" si="6"/>
        <v>0.073</v>
      </c>
      <c r="Y21">
        <v>51</v>
      </c>
      <c r="Z21" s="40">
        <f t="shared" si="8"/>
        <v>0.051000000000000004</v>
      </c>
      <c r="AA21" s="40">
        <f t="shared" si="9"/>
        <v>51</v>
      </c>
      <c r="AB21" s="40">
        <f t="shared" si="8"/>
        <v>0.051000000000000004</v>
      </c>
    </row>
    <row r="22" spans="1:28" ht="12.75">
      <c r="A22" s="27"/>
      <c r="B22" s="27" t="s">
        <v>35</v>
      </c>
      <c r="C22" s="29">
        <v>0.1</v>
      </c>
      <c r="E22">
        <v>3.7</v>
      </c>
      <c r="F22" s="32">
        <f t="shared" si="0"/>
        <v>0.37000000000000005</v>
      </c>
      <c r="G22" s="32">
        <f t="shared" si="1"/>
        <v>3.7</v>
      </c>
      <c r="H22" s="32">
        <f t="shared" si="0"/>
        <v>0.37000000000000005</v>
      </c>
      <c r="I22"/>
      <c r="J22">
        <v>3.7</v>
      </c>
      <c r="K22" s="32">
        <f t="shared" si="2"/>
        <v>0.37000000000000005</v>
      </c>
      <c r="L22" s="40">
        <f t="shared" si="3"/>
        <v>3.7</v>
      </c>
      <c r="M22" s="32">
        <f t="shared" si="2"/>
        <v>0.37000000000000005</v>
      </c>
      <c r="O22">
        <v>13</v>
      </c>
      <c r="P22" s="40">
        <f t="shared" si="4"/>
        <v>1.3</v>
      </c>
      <c r="Q22" s="40">
        <f t="shared" si="5"/>
        <v>13</v>
      </c>
      <c r="R22" s="40">
        <f t="shared" si="4"/>
        <v>1.3</v>
      </c>
      <c r="T22">
        <v>4.5</v>
      </c>
      <c r="U22" s="40">
        <f t="shared" si="6"/>
        <v>0.45</v>
      </c>
      <c r="V22" s="40">
        <f t="shared" si="7"/>
        <v>4.5</v>
      </c>
      <c r="W22" s="40">
        <f t="shared" si="6"/>
        <v>0.45</v>
      </c>
      <c r="Y22">
        <v>11</v>
      </c>
      <c r="Z22" s="40">
        <f t="shared" si="8"/>
        <v>1.1</v>
      </c>
      <c r="AA22" s="40">
        <f t="shared" si="9"/>
        <v>11</v>
      </c>
      <c r="AB22" s="40">
        <f t="shared" si="8"/>
        <v>1.1</v>
      </c>
    </row>
    <row r="23" spans="1:28" ht="12.75">
      <c r="A23" s="27"/>
      <c r="B23" s="27" t="s">
        <v>97</v>
      </c>
      <c r="C23" s="29">
        <v>0</v>
      </c>
      <c r="E23">
        <v>180</v>
      </c>
      <c r="F23" s="40">
        <f t="shared" si="0"/>
        <v>0</v>
      </c>
      <c r="G23" s="40">
        <f t="shared" si="1"/>
        <v>180</v>
      </c>
      <c r="H23" s="40">
        <f t="shared" si="0"/>
        <v>0</v>
      </c>
      <c r="I23"/>
      <c r="J23">
        <v>200</v>
      </c>
      <c r="K23" s="32">
        <f t="shared" si="2"/>
        <v>0</v>
      </c>
      <c r="L23" s="40">
        <f t="shared" si="3"/>
        <v>200</v>
      </c>
      <c r="M23" s="32">
        <f t="shared" si="2"/>
        <v>0</v>
      </c>
      <c r="O23">
        <v>840</v>
      </c>
      <c r="P23" s="40">
        <f t="shared" si="4"/>
        <v>0</v>
      </c>
      <c r="Q23" s="40">
        <f t="shared" si="5"/>
        <v>840</v>
      </c>
      <c r="R23" s="40">
        <f t="shared" si="4"/>
        <v>0</v>
      </c>
      <c r="T23">
        <v>260</v>
      </c>
      <c r="U23" s="40">
        <f t="shared" si="6"/>
        <v>0</v>
      </c>
      <c r="V23" s="40">
        <f t="shared" si="7"/>
        <v>260</v>
      </c>
      <c r="W23" s="40">
        <f t="shared" si="6"/>
        <v>0</v>
      </c>
      <c r="Y23">
        <v>680</v>
      </c>
      <c r="Z23" s="40">
        <f t="shared" si="8"/>
        <v>0</v>
      </c>
      <c r="AA23" s="40">
        <f t="shared" si="9"/>
        <v>680</v>
      </c>
      <c r="AB23" s="40">
        <f t="shared" si="8"/>
        <v>0</v>
      </c>
    </row>
    <row r="24" spans="1:28" ht="12.75">
      <c r="A24" s="27"/>
      <c r="B24" s="27" t="s">
        <v>36</v>
      </c>
      <c r="C24" s="29">
        <v>0.05</v>
      </c>
      <c r="E24">
        <v>9</v>
      </c>
      <c r="F24" s="32">
        <f t="shared" si="0"/>
        <v>0.45</v>
      </c>
      <c r="G24" s="40">
        <f t="shared" si="1"/>
        <v>9</v>
      </c>
      <c r="H24" s="32">
        <f t="shared" si="0"/>
        <v>0.45</v>
      </c>
      <c r="I24"/>
      <c r="J24">
        <v>11</v>
      </c>
      <c r="K24" s="32">
        <f t="shared" si="2"/>
        <v>0.55</v>
      </c>
      <c r="L24" s="40">
        <f t="shared" si="3"/>
        <v>11</v>
      </c>
      <c r="M24" s="32">
        <f t="shared" si="2"/>
        <v>0.55</v>
      </c>
      <c r="O24">
        <v>32</v>
      </c>
      <c r="P24" s="40">
        <f t="shared" si="4"/>
        <v>1.6</v>
      </c>
      <c r="Q24" s="40">
        <f t="shared" si="5"/>
        <v>32</v>
      </c>
      <c r="R24" s="40">
        <f t="shared" si="4"/>
        <v>1.6</v>
      </c>
      <c r="T24">
        <v>12</v>
      </c>
      <c r="U24" s="40">
        <f t="shared" si="6"/>
        <v>0.6000000000000001</v>
      </c>
      <c r="V24" s="40">
        <f t="shared" si="7"/>
        <v>12</v>
      </c>
      <c r="W24" s="40">
        <f t="shared" si="6"/>
        <v>0.6000000000000001</v>
      </c>
      <c r="Y24">
        <v>20</v>
      </c>
      <c r="Z24" s="40">
        <f t="shared" si="8"/>
        <v>1</v>
      </c>
      <c r="AA24" s="40">
        <f t="shared" si="9"/>
        <v>20</v>
      </c>
      <c r="AB24" s="40">
        <f t="shared" si="8"/>
        <v>1</v>
      </c>
    </row>
    <row r="25" spans="1:28" ht="12.75">
      <c r="A25" s="27"/>
      <c r="B25" s="27" t="s">
        <v>37</v>
      </c>
      <c r="C25" s="29">
        <v>0.5</v>
      </c>
      <c r="E25">
        <v>10</v>
      </c>
      <c r="F25" s="40">
        <f t="shared" si="0"/>
        <v>5</v>
      </c>
      <c r="G25" s="40">
        <f t="shared" si="1"/>
        <v>10</v>
      </c>
      <c r="H25" s="40">
        <f t="shared" si="0"/>
        <v>5</v>
      </c>
      <c r="I25"/>
      <c r="J25">
        <v>12</v>
      </c>
      <c r="K25" s="32">
        <f t="shared" si="2"/>
        <v>6</v>
      </c>
      <c r="L25" s="40">
        <f t="shared" si="3"/>
        <v>12</v>
      </c>
      <c r="M25" s="32">
        <f t="shared" si="2"/>
        <v>6</v>
      </c>
      <c r="O25">
        <v>26</v>
      </c>
      <c r="P25" s="40">
        <f t="shared" si="4"/>
        <v>13</v>
      </c>
      <c r="Q25" s="40">
        <f t="shared" si="5"/>
        <v>26</v>
      </c>
      <c r="R25" s="40">
        <f t="shared" si="4"/>
        <v>13</v>
      </c>
      <c r="T25">
        <v>12</v>
      </c>
      <c r="U25" s="40">
        <f t="shared" si="6"/>
        <v>6</v>
      </c>
      <c r="V25" s="40">
        <f t="shared" si="7"/>
        <v>12</v>
      </c>
      <c r="W25" s="40">
        <f t="shared" si="6"/>
        <v>6</v>
      </c>
      <c r="Y25">
        <v>26</v>
      </c>
      <c r="Z25" s="40">
        <f t="shared" si="8"/>
        <v>13</v>
      </c>
      <c r="AA25" s="40">
        <f t="shared" si="9"/>
        <v>26</v>
      </c>
      <c r="AB25" s="40">
        <f t="shared" si="8"/>
        <v>13</v>
      </c>
    </row>
    <row r="26" spans="1:28" ht="12.75">
      <c r="A26" s="27"/>
      <c r="B26" s="27" t="s">
        <v>98</v>
      </c>
      <c r="C26" s="29">
        <v>0</v>
      </c>
      <c r="E26">
        <v>210</v>
      </c>
      <c r="F26" s="40">
        <f t="shared" si="0"/>
        <v>0</v>
      </c>
      <c r="G26" s="40">
        <f t="shared" si="1"/>
        <v>210</v>
      </c>
      <c r="H26" s="40">
        <f t="shared" si="0"/>
        <v>0</v>
      </c>
      <c r="I26"/>
      <c r="J26">
        <v>240</v>
      </c>
      <c r="K26" s="32">
        <f t="shared" si="2"/>
        <v>0</v>
      </c>
      <c r="L26" s="40">
        <f t="shared" si="3"/>
        <v>240</v>
      </c>
      <c r="M26" s="32">
        <f t="shared" si="2"/>
        <v>0</v>
      </c>
      <c r="O26">
        <v>650</v>
      </c>
      <c r="P26" s="40">
        <f t="shared" si="4"/>
        <v>0</v>
      </c>
      <c r="Q26" s="40">
        <f t="shared" si="5"/>
        <v>650</v>
      </c>
      <c r="R26" s="40">
        <f t="shared" si="4"/>
        <v>0</v>
      </c>
      <c r="T26">
        <v>270</v>
      </c>
      <c r="U26" s="40">
        <f t="shared" si="6"/>
        <v>0</v>
      </c>
      <c r="V26" s="40">
        <f t="shared" si="7"/>
        <v>270</v>
      </c>
      <c r="W26" s="40">
        <f t="shared" si="6"/>
        <v>0</v>
      </c>
      <c r="Y26">
        <v>440</v>
      </c>
      <c r="Z26" s="40">
        <f t="shared" si="8"/>
        <v>0</v>
      </c>
      <c r="AA26" s="40">
        <f t="shared" si="9"/>
        <v>440</v>
      </c>
      <c r="AB26" s="40">
        <f t="shared" si="8"/>
        <v>0</v>
      </c>
    </row>
    <row r="27" spans="1:28" ht="12.75">
      <c r="A27" s="27"/>
      <c r="B27" s="27" t="s">
        <v>38</v>
      </c>
      <c r="C27" s="29">
        <v>0.1</v>
      </c>
      <c r="E27">
        <v>24</v>
      </c>
      <c r="F27" s="40">
        <f t="shared" si="0"/>
        <v>2.4000000000000004</v>
      </c>
      <c r="G27" s="40">
        <f t="shared" si="1"/>
        <v>24</v>
      </c>
      <c r="H27" s="40">
        <f t="shared" si="0"/>
        <v>2.4000000000000004</v>
      </c>
      <c r="I27"/>
      <c r="J27">
        <v>30</v>
      </c>
      <c r="K27" s="32">
        <f t="shared" si="2"/>
        <v>3</v>
      </c>
      <c r="L27" s="40">
        <f t="shared" si="3"/>
        <v>30</v>
      </c>
      <c r="M27" s="32">
        <f t="shared" si="2"/>
        <v>3</v>
      </c>
      <c r="O27">
        <v>50</v>
      </c>
      <c r="P27" s="40">
        <f t="shared" si="4"/>
        <v>5</v>
      </c>
      <c r="Q27" s="40">
        <f t="shared" si="5"/>
        <v>50</v>
      </c>
      <c r="R27" s="40">
        <f t="shared" si="4"/>
        <v>5</v>
      </c>
      <c r="T27">
        <v>28</v>
      </c>
      <c r="U27" s="40">
        <f t="shared" si="6"/>
        <v>2.8000000000000003</v>
      </c>
      <c r="V27" s="40">
        <f t="shared" si="7"/>
        <v>28</v>
      </c>
      <c r="W27" s="40">
        <f t="shared" si="6"/>
        <v>2.8000000000000003</v>
      </c>
      <c r="Y27">
        <v>33</v>
      </c>
      <c r="Z27" s="40">
        <f t="shared" si="8"/>
        <v>3.3000000000000003</v>
      </c>
      <c r="AA27" s="40">
        <f t="shared" si="9"/>
        <v>33</v>
      </c>
      <c r="AB27" s="40">
        <f t="shared" si="8"/>
        <v>3.3000000000000003</v>
      </c>
    </row>
    <row r="28" spans="1:28" ht="12.75">
      <c r="A28" s="27"/>
      <c r="B28" s="27" t="s">
        <v>39</v>
      </c>
      <c r="C28" s="29">
        <v>0.1</v>
      </c>
      <c r="E28">
        <v>21</v>
      </c>
      <c r="F28" s="40">
        <f t="shared" si="0"/>
        <v>2.1</v>
      </c>
      <c r="G28" s="40">
        <f t="shared" si="1"/>
        <v>21</v>
      </c>
      <c r="H28" s="40">
        <f t="shared" si="0"/>
        <v>2.1</v>
      </c>
      <c r="I28"/>
      <c r="J28">
        <v>25</v>
      </c>
      <c r="K28" s="32">
        <f t="shared" si="2"/>
        <v>2.5</v>
      </c>
      <c r="L28" s="40">
        <f t="shared" si="3"/>
        <v>25</v>
      </c>
      <c r="M28" s="32">
        <f t="shared" si="2"/>
        <v>2.5</v>
      </c>
      <c r="O28">
        <v>44</v>
      </c>
      <c r="P28" s="40">
        <f t="shared" si="4"/>
        <v>4.4</v>
      </c>
      <c r="Q28" s="40">
        <f t="shared" si="5"/>
        <v>44</v>
      </c>
      <c r="R28" s="40">
        <f t="shared" si="4"/>
        <v>4.4</v>
      </c>
      <c r="T28">
        <v>22</v>
      </c>
      <c r="U28" s="40">
        <f t="shared" si="6"/>
        <v>2.2</v>
      </c>
      <c r="V28" s="40">
        <f t="shared" si="7"/>
        <v>22</v>
      </c>
      <c r="W28" s="40">
        <f t="shared" si="6"/>
        <v>2.2</v>
      </c>
      <c r="Y28">
        <v>28</v>
      </c>
      <c r="Z28" s="40">
        <f t="shared" si="8"/>
        <v>2.8000000000000003</v>
      </c>
      <c r="AA28" s="40">
        <f t="shared" si="9"/>
        <v>28</v>
      </c>
      <c r="AB28" s="40">
        <f t="shared" si="8"/>
        <v>2.8000000000000003</v>
      </c>
    </row>
    <row r="29" spans="1:28" ht="12.75">
      <c r="A29" s="27"/>
      <c r="B29" s="27" t="s">
        <v>40</v>
      </c>
      <c r="C29" s="29">
        <v>0.1</v>
      </c>
      <c r="E29">
        <v>29</v>
      </c>
      <c r="F29" s="40">
        <f t="shared" si="0"/>
        <v>2.9000000000000004</v>
      </c>
      <c r="G29" s="40">
        <f t="shared" si="1"/>
        <v>29</v>
      </c>
      <c r="H29" s="40">
        <f t="shared" si="0"/>
        <v>2.9000000000000004</v>
      </c>
      <c r="I29"/>
      <c r="J29">
        <v>36</v>
      </c>
      <c r="K29" s="32">
        <f t="shared" si="2"/>
        <v>3.6</v>
      </c>
      <c r="L29" s="40">
        <f t="shared" si="3"/>
        <v>36</v>
      </c>
      <c r="M29" s="32">
        <f t="shared" si="2"/>
        <v>3.6</v>
      </c>
      <c r="O29">
        <v>44</v>
      </c>
      <c r="P29" s="40">
        <f t="shared" si="4"/>
        <v>4.4</v>
      </c>
      <c r="Q29" s="40">
        <f t="shared" si="5"/>
        <v>44</v>
      </c>
      <c r="R29" s="40">
        <f t="shared" si="4"/>
        <v>4.4</v>
      </c>
      <c r="T29">
        <v>25</v>
      </c>
      <c r="U29" s="40">
        <f t="shared" si="6"/>
        <v>2.5</v>
      </c>
      <c r="V29" s="40">
        <f t="shared" si="7"/>
        <v>25</v>
      </c>
      <c r="W29" s="40">
        <f t="shared" si="6"/>
        <v>2.5</v>
      </c>
      <c r="Y29">
        <v>35</v>
      </c>
      <c r="Z29" s="40">
        <f t="shared" si="8"/>
        <v>3.5</v>
      </c>
      <c r="AA29" s="40">
        <f t="shared" si="9"/>
        <v>35</v>
      </c>
      <c r="AB29" s="40">
        <f t="shared" si="8"/>
        <v>3.5</v>
      </c>
    </row>
    <row r="30" spans="1:28" ht="12.75">
      <c r="A30" s="27"/>
      <c r="B30" s="27" t="s">
        <v>41</v>
      </c>
      <c r="C30" s="29">
        <v>0.1</v>
      </c>
      <c r="E30">
        <v>6.3</v>
      </c>
      <c r="F30" s="40">
        <f t="shared" si="0"/>
        <v>0.63</v>
      </c>
      <c r="G30" s="40">
        <f t="shared" si="1"/>
        <v>6.3</v>
      </c>
      <c r="H30" s="40">
        <f t="shared" si="0"/>
        <v>0.63</v>
      </c>
      <c r="I30"/>
      <c r="J30">
        <v>7</v>
      </c>
      <c r="K30" s="32">
        <f t="shared" si="2"/>
        <v>0.7000000000000001</v>
      </c>
      <c r="L30" s="40">
        <f t="shared" si="3"/>
        <v>7</v>
      </c>
      <c r="M30" s="32">
        <f t="shared" si="2"/>
        <v>0.7000000000000001</v>
      </c>
      <c r="O30">
        <v>11</v>
      </c>
      <c r="P30" s="40">
        <f t="shared" si="4"/>
        <v>1.1</v>
      </c>
      <c r="Q30" s="40">
        <f t="shared" si="5"/>
        <v>11</v>
      </c>
      <c r="R30" s="40">
        <f t="shared" si="4"/>
        <v>1.1</v>
      </c>
      <c r="T30">
        <v>6.2</v>
      </c>
      <c r="U30" s="40">
        <f t="shared" si="6"/>
        <v>0.6200000000000001</v>
      </c>
      <c r="V30" s="40">
        <f t="shared" si="7"/>
        <v>6.2</v>
      </c>
      <c r="W30" s="40">
        <f t="shared" si="6"/>
        <v>0.6200000000000001</v>
      </c>
      <c r="Y30">
        <v>8.8</v>
      </c>
      <c r="Z30" s="40">
        <f t="shared" si="8"/>
        <v>0.8800000000000001</v>
      </c>
      <c r="AA30" s="40">
        <f t="shared" si="9"/>
        <v>8.8</v>
      </c>
      <c r="AB30" s="40">
        <f t="shared" si="8"/>
        <v>0.8800000000000001</v>
      </c>
    </row>
    <row r="31" spans="1:28" ht="12.75">
      <c r="A31" s="27"/>
      <c r="B31" s="27" t="s">
        <v>99</v>
      </c>
      <c r="C31" s="29">
        <v>0</v>
      </c>
      <c r="E31">
        <v>250</v>
      </c>
      <c r="F31" s="40">
        <f t="shared" si="0"/>
        <v>0</v>
      </c>
      <c r="G31" s="40">
        <f t="shared" si="1"/>
        <v>250</v>
      </c>
      <c r="H31" s="40">
        <f t="shared" si="0"/>
        <v>0</v>
      </c>
      <c r="I31"/>
      <c r="J31">
        <v>300</v>
      </c>
      <c r="K31" s="32">
        <f t="shared" si="2"/>
        <v>0</v>
      </c>
      <c r="L31" s="40">
        <f t="shared" si="3"/>
        <v>300</v>
      </c>
      <c r="M31" s="32">
        <f t="shared" si="2"/>
        <v>0</v>
      </c>
      <c r="O31">
        <v>480</v>
      </c>
      <c r="P31" s="40">
        <f t="shared" si="4"/>
        <v>0</v>
      </c>
      <c r="Q31" s="40">
        <f t="shared" si="5"/>
        <v>480</v>
      </c>
      <c r="R31" s="40">
        <f t="shared" si="4"/>
        <v>0</v>
      </c>
      <c r="T31">
        <v>270</v>
      </c>
      <c r="U31" s="40">
        <f t="shared" si="6"/>
        <v>0</v>
      </c>
      <c r="V31" s="40">
        <f t="shared" si="7"/>
        <v>270</v>
      </c>
      <c r="W31" s="40">
        <f t="shared" si="6"/>
        <v>0</v>
      </c>
      <c r="Y31">
        <v>320</v>
      </c>
      <c r="Z31" s="40">
        <f t="shared" si="8"/>
        <v>0</v>
      </c>
      <c r="AA31" s="40">
        <f t="shared" si="9"/>
        <v>320</v>
      </c>
      <c r="AB31" s="40">
        <f t="shared" si="8"/>
        <v>0</v>
      </c>
    </row>
    <row r="32" spans="1:28" ht="12.75">
      <c r="A32" s="27"/>
      <c r="B32" s="27" t="s">
        <v>42</v>
      </c>
      <c r="C32" s="29">
        <v>0.01</v>
      </c>
      <c r="E32">
        <v>120</v>
      </c>
      <c r="F32" s="40">
        <f t="shared" si="0"/>
        <v>1.2</v>
      </c>
      <c r="G32" s="40">
        <f t="shared" si="1"/>
        <v>120</v>
      </c>
      <c r="H32" s="40">
        <f t="shared" si="0"/>
        <v>1.2</v>
      </c>
      <c r="I32"/>
      <c r="J32">
        <v>150</v>
      </c>
      <c r="K32" s="32">
        <f t="shared" si="2"/>
        <v>1.5</v>
      </c>
      <c r="L32" s="40">
        <f t="shared" si="3"/>
        <v>150</v>
      </c>
      <c r="M32" s="32">
        <f t="shared" si="2"/>
        <v>1.5</v>
      </c>
      <c r="O32">
        <v>160</v>
      </c>
      <c r="P32" s="40">
        <f t="shared" si="4"/>
        <v>1.6</v>
      </c>
      <c r="Q32" s="40">
        <f t="shared" si="5"/>
        <v>160</v>
      </c>
      <c r="R32" s="40">
        <f t="shared" si="4"/>
        <v>1.6</v>
      </c>
      <c r="T32">
        <v>110</v>
      </c>
      <c r="U32" s="40">
        <f t="shared" si="6"/>
        <v>1.1</v>
      </c>
      <c r="V32" s="40">
        <f t="shared" si="7"/>
        <v>110</v>
      </c>
      <c r="W32" s="40">
        <f t="shared" si="6"/>
        <v>1.1</v>
      </c>
      <c r="Y32">
        <v>110</v>
      </c>
      <c r="Z32" s="40">
        <f t="shared" si="8"/>
        <v>1.1</v>
      </c>
      <c r="AA32" s="40">
        <f t="shared" si="9"/>
        <v>110</v>
      </c>
      <c r="AB32" s="40">
        <f t="shared" si="8"/>
        <v>1.1</v>
      </c>
    </row>
    <row r="33" spans="1:28" ht="12.75">
      <c r="A33" s="27"/>
      <c r="B33" s="27" t="s">
        <v>43</v>
      </c>
      <c r="C33" s="29">
        <v>0.01</v>
      </c>
      <c r="E33">
        <v>13</v>
      </c>
      <c r="F33" s="32">
        <f t="shared" si="0"/>
        <v>0.13</v>
      </c>
      <c r="G33" s="40">
        <f t="shared" si="1"/>
        <v>13</v>
      </c>
      <c r="H33" s="32">
        <f t="shared" si="0"/>
        <v>0.13</v>
      </c>
      <c r="I33"/>
      <c r="J33">
        <v>15</v>
      </c>
      <c r="K33" s="32">
        <f t="shared" si="2"/>
        <v>0.15</v>
      </c>
      <c r="L33" s="40">
        <f t="shared" si="3"/>
        <v>15</v>
      </c>
      <c r="M33" s="32">
        <f t="shared" si="2"/>
        <v>0.15</v>
      </c>
      <c r="O33">
        <v>17</v>
      </c>
      <c r="P33" s="40">
        <f t="shared" si="4"/>
        <v>0.17</v>
      </c>
      <c r="Q33" s="40">
        <f t="shared" si="5"/>
        <v>17</v>
      </c>
      <c r="R33" s="40">
        <f t="shared" si="4"/>
        <v>0.17</v>
      </c>
      <c r="T33">
        <v>11</v>
      </c>
      <c r="U33" s="40">
        <f t="shared" si="6"/>
        <v>0.11</v>
      </c>
      <c r="V33" s="40">
        <f t="shared" si="7"/>
        <v>11</v>
      </c>
      <c r="W33" s="40">
        <f t="shared" si="6"/>
        <v>0.11</v>
      </c>
      <c r="Y33">
        <v>11</v>
      </c>
      <c r="Z33" s="40">
        <f t="shared" si="8"/>
        <v>0.11</v>
      </c>
      <c r="AA33" s="40">
        <f t="shared" si="9"/>
        <v>11</v>
      </c>
      <c r="AB33" s="40">
        <f t="shared" si="8"/>
        <v>0.11</v>
      </c>
    </row>
    <row r="34" spans="1:28" ht="12.75">
      <c r="A34" s="27"/>
      <c r="B34" s="27" t="s">
        <v>100</v>
      </c>
      <c r="C34" s="29">
        <v>0</v>
      </c>
      <c r="E34">
        <v>180</v>
      </c>
      <c r="F34" s="40">
        <f t="shared" si="0"/>
        <v>0</v>
      </c>
      <c r="G34" s="40">
        <f t="shared" si="1"/>
        <v>180</v>
      </c>
      <c r="H34" s="40">
        <f t="shared" si="0"/>
        <v>0</v>
      </c>
      <c r="I34"/>
      <c r="J34">
        <v>210</v>
      </c>
      <c r="K34" s="32">
        <f t="shared" si="2"/>
        <v>0</v>
      </c>
      <c r="L34" s="40">
        <f t="shared" si="3"/>
        <v>210</v>
      </c>
      <c r="M34" s="32">
        <f t="shared" si="2"/>
        <v>0</v>
      </c>
      <c r="O34">
        <v>220</v>
      </c>
      <c r="P34" s="40">
        <f t="shared" si="4"/>
        <v>0</v>
      </c>
      <c r="Q34" s="40">
        <f t="shared" si="5"/>
        <v>220</v>
      </c>
      <c r="R34" s="40">
        <f t="shared" si="4"/>
        <v>0</v>
      </c>
      <c r="T34">
        <v>160</v>
      </c>
      <c r="U34" s="40">
        <f t="shared" si="6"/>
        <v>0</v>
      </c>
      <c r="V34" s="40">
        <f t="shared" si="7"/>
        <v>160</v>
      </c>
      <c r="W34" s="40">
        <f t="shared" si="6"/>
        <v>0</v>
      </c>
      <c r="Y34">
        <v>140</v>
      </c>
      <c r="Z34" s="40">
        <f t="shared" si="8"/>
        <v>0</v>
      </c>
      <c r="AA34" s="40">
        <f t="shared" si="9"/>
        <v>140</v>
      </c>
      <c r="AB34" s="40">
        <f t="shared" si="8"/>
        <v>0</v>
      </c>
    </row>
    <row r="35" spans="1:28" ht="12.75">
      <c r="A35" s="27"/>
      <c r="B35" s="27" t="s">
        <v>44</v>
      </c>
      <c r="C35" s="29">
        <v>0.001</v>
      </c>
      <c r="E35">
        <v>52</v>
      </c>
      <c r="F35" s="32">
        <f t="shared" si="0"/>
        <v>0.052000000000000005</v>
      </c>
      <c r="G35" s="40">
        <f t="shared" si="1"/>
        <v>52</v>
      </c>
      <c r="H35" s="32">
        <f t="shared" si="0"/>
        <v>0.052000000000000005</v>
      </c>
      <c r="I35"/>
      <c r="J35">
        <v>60</v>
      </c>
      <c r="K35" s="32">
        <f t="shared" si="2"/>
        <v>0.06</v>
      </c>
      <c r="L35" s="40">
        <f t="shared" si="3"/>
        <v>60</v>
      </c>
      <c r="M35" s="32">
        <f t="shared" si="2"/>
        <v>0.06</v>
      </c>
      <c r="O35">
        <v>47</v>
      </c>
      <c r="P35" s="40">
        <f t="shared" si="4"/>
        <v>0.047</v>
      </c>
      <c r="Q35" s="40">
        <f t="shared" si="5"/>
        <v>47</v>
      </c>
      <c r="R35" s="40">
        <f t="shared" si="4"/>
        <v>0.047</v>
      </c>
      <c r="T35">
        <v>39</v>
      </c>
      <c r="U35" s="40">
        <f t="shared" si="6"/>
        <v>0.039</v>
      </c>
      <c r="V35" s="40">
        <f t="shared" si="7"/>
        <v>39</v>
      </c>
      <c r="W35" s="40">
        <f t="shared" si="6"/>
        <v>0.039</v>
      </c>
      <c r="Y35">
        <v>32</v>
      </c>
      <c r="Z35" s="40">
        <f t="shared" si="8"/>
        <v>0.032</v>
      </c>
      <c r="AA35" s="40">
        <f t="shared" si="9"/>
        <v>32</v>
      </c>
      <c r="AB35" s="40">
        <f t="shared" si="8"/>
        <v>0.032</v>
      </c>
    </row>
    <row r="36" spans="1:28" ht="12.75">
      <c r="A36" s="27"/>
      <c r="B36" s="27"/>
      <c r="C36" s="27"/>
      <c r="D36" s="27"/>
      <c r="E36" s="32"/>
      <c r="F36" s="35"/>
      <c r="G36" s="32"/>
      <c r="H36" s="35"/>
      <c r="I36" s="51"/>
      <c r="J36" s="12"/>
      <c r="K36" s="30"/>
      <c r="L36" s="30"/>
      <c r="M36" s="30"/>
      <c r="N36" s="32"/>
      <c r="O36" s="12"/>
      <c r="P36" s="34"/>
      <c r="Q36" s="32"/>
      <c r="R36" s="34"/>
      <c r="S36" s="32"/>
      <c r="T36" s="12"/>
      <c r="U36" s="34"/>
      <c r="V36" s="32"/>
      <c r="W36" s="34"/>
      <c r="X36" s="32"/>
      <c r="Y36" s="12"/>
      <c r="Z36" s="34"/>
      <c r="AA36" s="32"/>
      <c r="AB36" s="34"/>
    </row>
    <row r="37" spans="1:28" ht="12.75">
      <c r="A37" s="27"/>
      <c r="B37" s="27" t="s">
        <v>45</v>
      </c>
      <c r="C37" s="27"/>
      <c r="D37" s="27"/>
      <c r="E37" s="32"/>
      <c r="F37">
        <f>H37</f>
        <v>160.54</v>
      </c>
      <c r="G37">
        <v>160.54</v>
      </c>
      <c r="H37">
        <f>G37</f>
        <v>160.54</v>
      </c>
      <c r="I37"/>
      <c r="K37">
        <f>M37</f>
        <v>164.99</v>
      </c>
      <c r="L37">
        <v>164.99</v>
      </c>
      <c r="M37">
        <f>L37</f>
        <v>164.99</v>
      </c>
      <c r="P37">
        <f>R37</f>
        <v>165.66</v>
      </c>
      <c r="Q37">
        <v>165.66</v>
      </c>
      <c r="R37">
        <f>Q37</f>
        <v>165.66</v>
      </c>
      <c r="S37" s="32"/>
      <c r="U37">
        <f>W37</f>
        <v>162.876</v>
      </c>
      <c r="V37">
        <v>162.876</v>
      </c>
      <c r="W37" s="81">
        <f>V37</f>
        <v>162.876</v>
      </c>
      <c r="X37" s="32"/>
      <c r="Z37">
        <f>AB37</f>
        <v>160.141</v>
      </c>
      <c r="AA37">
        <v>160.141</v>
      </c>
      <c r="AB37" s="81">
        <f>AA37</f>
        <v>160.141</v>
      </c>
    </row>
    <row r="38" spans="1:28" ht="12.75">
      <c r="A38" s="27"/>
      <c r="B38" s="27" t="s">
        <v>60</v>
      </c>
      <c r="C38" s="27"/>
      <c r="D38" s="27"/>
      <c r="E38" s="32"/>
      <c r="F38">
        <f>H38</f>
        <v>14.31</v>
      </c>
      <c r="G38">
        <v>14.31</v>
      </c>
      <c r="H38">
        <f>G38</f>
        <v>14.31</v>
      </c>
      <c r="I38"/>
      <c r="K38">
        <f>M38</f>
        <v>13.78</v>
      </c>
      <c r="L38">
        <v>13.78</v>
      </c>
      <c r="M38">
        <f>L38</f>
        <v>13.78</v>
      </c>
      <c r="P38">
        <f>R38</f>
        <v>13.55</v>
      </c>
      <c r="Q38">
        <v>13.55</v>
      </c>
      <c r="R38">
        <f>Q38</f>
        <v>13.55</v>
      </c>
      <c r="S38" s="32"/>
      <c r="U38">
        <f>W38</f>
        <v>13.69</v>
      </c>
      <c r="V38">
        <v>13.69</v>
      </c>
      <c r="W38">
        <f>V38</f>
        <v>13.69</v>
      </c>
      <c r="X38" s="32"/>
      <c r="Z38">
        <f>AB38</f>
        <v>13.28</v>
      </c>
      <c r="AA38">
        <v>13.28</v>
      </c>
      <c r="AB38">
        <f>AA38</f>
        <v>13.28</v>
      </c>
    </row>
    <row r="39" spans="1:28" ht="12.75">
      <c r="A39" s="27"/>
      <c r="B39" s="27"/>
      <c r="C39" s="27"/>
      <c r="D39" s="27"/>
      <c r="E39" s="32"/>
      <c r="F39" s="12"/>
      <c r="G39" s="32"/>
      <c r="H39" s="12"/>
      <c r="I39" s="45"/>
      <c r="J39" s="32"/>
      <c r="K39" s="33"/>
      <c r="L39" s="30"/>
      <c r="M39" s="33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</row>
    <row r="40" spans="1:28" ht="12.75">
      <c r="A40" s="27"/>
      <c r="B40" s="27" t="s">
        <v>101</v>
      </c>
      <c r="C40" s="35"/>
      <c r="D40" s="35"/>
      <c r="E40" s="30"/>
      <c r="F40" s="31">
        <f>SUM(F11:F35)/1000</f>
        <v>0.018356999999999995</v>
      </c>
      <c r="G40" s="30">
        <f>SUM(G35,G34,G31,G26,G23,G21,G20,G18,G14,G12)/1000</f>
        <v>1.0507</v>
      </c>
      <c r="H40" s="31">
        <f>SUM(H11:H35)/1000</f>
        <v>0.017757</v>
      </c>
      <c r="I40" s="37"/>
      <c r="J40" s="30"/>
      <c r="K40" s="31">
        <f>SUM(K11:K35)/1000</f>
        <v>0.021613999999999998</v>
      </c>
      <c r="L40" s="30">
        <f>SUM(L35,L34,L31,L26,L23,L21,L20,L18,L14,L12)/1000</f>
        <v>1.196</v>
      </c>
      <c r="M40" s="31">
        <f>SUM(M11:M35)/1000</f>
        <v>0.021013999999999998</v>
      </c>
      <c r="N40" s="35"/>
      <c r="O40" s="32"/>
      <c r="P40" s="32">
        <f>SUM(P11:P35)/1000</f>
        <v>0.041164</v>
      </c>
      <c r="Q40" s="30">
        <f>SUM(Q35,Q34,Q31,Q26,Q23,Q21,Q20,Q18,Q14,Q12)/1000</f>
        <v>2.619</v>
      </c>
      <c r="R40" s="32">
        <f>SUM(R11:R35)/1000</f>
        <v>0.040064</v>
      </c>
      <c r="S40" s="35"/>
      <c r="T40" s="32"/>
      <c r="U40" s="32">
        <f>SUM(U11:U35)/1000</f>
        <v>0.019562000000000003</v>
      </c>
      <c r="V40" s="30">
        <f>SUM(V35,V34,V31,V26,V23,V21,V20,V18,V14,V12)/1000</f>
        <v>1.1573</v>
      </c>
      <c r="W40" s="32">
        <f>SUM(W11:W35)/1000</f>
        <v>0.018912</v>
      </c>
      <c r="X40" s="35"/>
      <c r="Y40" s="32"/>
      <c r="Z40" s="32">
        <f>SUM(Z11:Z35)/1000</f>
        <v>0.031453</v>
      </c>
      <c r="AA40" s="30">
        <f>SUM(AA35,AA34,AA31,AA26,AA23,AA21,AA20,AA18,AA14,AA12)/1000</f>
        <v>1.868</v>
      </c>
      <c r="AB40" s="32">
        <f>SUM(AB11:AB35)/1000</f>
        <v>0.030703000000000005</v>
      </c>
    </row>
    <row r="41" spans="1:28" ht="12.75">
      <c r="A41" s="27"/>
      <c r="B41" s="27" t="s">
        <v>46</v>
      </c>
      <c r="C41" s="35"/>
      <c r="D41" s="30">
        <f>(F41-H41)*2/F41*100</f>
        <v>6.537015852263398</v>
      </c>
      <c r="E41" s="32"/>
      <c r="F41" s="35">
        <f>(F40/F37/0.0283*(21-7)/(21-F38))</f>
        <v>0.008455395600971125</v>
      </c>
      <c r="G41" s="31">
        <f>(G40/G37/0.0283*(21-7)/(21-G38))</f>
        <v>0.4839616581108222</v>
      </c>
      <c r="H41" s="35">
        <f>(H40/H37/0.0283*(21-7)/(21-H38))</f>
        <v>0.008179030325567592</v>
      </c>
      <c r="I41" s="30">
        <f>(K41-M41)*2/K41*100</f>
        <v>5.551957064865331</v>
      </c>
      <c r="J41" s="32"/>
      <c r="K41" s="35">
        <f>K40/K37/0.0283*(21-7)/(21-K38)</f>
        <v>0.00897598105294736</v>
      </c>
      <c r="L41" s="32">
        <f>(L40/L37/0.0283*(21-7)/(21-L38))</f>
        <v>0.4966814721627206</v>
      </c>
      <c r="M41" s="35">
        <f>M40/M37/0.0283*(21-7)/(21-M38)</f>
        <v>0.008726809745842317</v>
      </c>
      <c r="N41" s="30">
        <f>(P41-R41)*2/P41*100</f>
        <v>5.344475755514549</v>
      </c>
      <c r="O41" s="32"/>
      <c r="P41" s="35">
        <f>P40/P37/0.0283*(21-7)/(21-P38)</f>
        <v>0.016500049227063246</v>
      </c>
      <c r="Q41" s="32">
        <f>(Q40/Q37/0.0283*(21-7)/(21-Q38))</f>
        <v>1.0497917822776854</v>
      </c>
      <c r="R41" s="35">
        <f>R40/R37/0.0283*(21-7)/(21-R38)</f>
        <v>0.016059128661769066</v>
      </c>
      <c r="S41" s="30">
        <f>(U41-W41)*2/U41*100</f>
        <v>6.645537266128218</v>
      </c>
      <c r="T41" s="32"/>
      <c r="U41" s="32">
        <f>U40/U37/0.0283*(21-7)/(21-U38)</f>
        <v>0.00812793800891401</v>
      </c>
      <c r="V41" s="32">
        <f>(V40/V37/0.0283*(21-7)/(21-V38))</f>
        <v>0.48085383180227903</v>
      </c>
      <c r="W41" s="32">
        <f>W40/W37/0.0283*(21-7)/(21-W38)</f>
        <v>0.00785786543423892</v>
      </c>
      <c r="X41" s="30">
        <f>(Z41-AB41)*2/Z41*100</f>
        <v>4.769020443200931</v>
      </c>
      <c r="Y41" s="32"/>
      <c r="Z41" s="32">
        <f>Z40/Z37/0.0283*(21-7)/(21-Z38)</f>
        <v>0.012585887302314936</v>
      </c>
      <c r="AA41" s="32">
        <f>(AA40/AA37/0.0283*(21-7)/(21-AA38))</f>
        <v>0.7474783798278161</v>
      </c>
      <c r="AB41" s="32">
        <f>AB40/AB37/0.0283*(21-7)/(21-AB38)</f>
        <v>0.012285775533112121</v>
      </c>
    </row>
    <row r="42" spans="1:24" ht="12.75">
      <c r="A42" s="27"/>
      <c r="B42" s="27"/>
      <c r="C42" s="27"/>
      <c r="D42" s="27"/>
      <c r="E42" s="31"/>
      <c r="F42" s="35"/>
      <c r="G42" s="31"/>
      <c r="H42" s="35"/>
      <c r="I42" s="52"/>
      <c r="J42" s="31"/>
      <c r="K42" s="31"/>
      <c r="L42" s="31"/>
      <c r="M42" s="31"/>
      <c r="N42" s="31"/>
      <c r="O42" s="31"/>
      <c r="P42" s="34"/>
      <c r="Q42" s="31"/>
      <c r="R42" s="34"/>
      <c r="S42" s="31"/>
      <c r="T42" s="31"/>
      <c r="U42" s="34"/>
      <c r="V42" s="31"/>
      <c r="W42" s="34"/>
      <c r="X42" s="31"/>
    </row>
    <row r="43" spans="1:24" ht="12.75">
      <c r="A43" s="32"/>
      <c r="B43" s="27" t="s">
        <v>61</v>
      </c>
      <c r="C43" s="35">
        <f>AVERAGE(H41,M41,R41,W41,AB41)</f>
        <v>0.010621721940106004</v>
      </c>
      <c r="D43" s="32"/>
      <c r="E43" s="32"/>
      <c r="F43" s="35"/>
      <c r="G43" s="32"/>
      <c r="H43" s="35"/>
      <c r="I43" s="51"/>
      <c r="J43" s="32"/>
      <c r="K43" s="32"/>
      <c r="L43" s="32"/>
      <c r="M43" s="32"/>
      <c r="N43" s="32"/>
      <c r="O43" s="32"/>
      <c r="P43" s="34"/>
      <c r="Q43" s="32"/>
      <c r="R43" s="34"/>
      <c r="S43" s="32"/>
      <c r="T43" s="32"/>
      <c r="U43" s="34"/>
      <c r="V43" s="32"/>
      <c r="W43" s="34"/>
      <c r="X43" s="32"/>
    </row>
    <row r="44" spans="1:24" ht="12.75">
      <c r="A44" s="27"/>
      <c r="B44" s="27" t="s">
        <v>62</v>
      </c>
      <c r="C44" s="35">
        <f>AVERAGE(G41,L41,Q41,V41,AA41)</f>
        <v>0.6517534248362646</v>
      </c>
      <c r="D44" s="27"/>
      <c r="E44" s="34"/>
      <c r="F44" s="35"/>
      <c r="G44" s="34"/>
      <c r="H44" s="35"/>
      <c r="I44" s="38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</row>
    <row r="47" spans="1:28" ht="12.75">
      <c r="A47" t="s">
        <v>166</v>
      </c>
      <c r="F47">
        <f>F41*(SUM(F11:F35)-F11)/SUM(F11:F35)</f>
        <v>0.007902665050164057</v>
      </c>
      <c r="G47" t="s">
        <v>119</v>
      </c>
      <c r="H47">
        <f>H41*(SUM(H11:H35)-H11)/SUM(H11:H35)</f>
        <v>0.007902665050164057</v>
      </c>
      <c r="K47">
        <f>K41*(SUM(K11:K35)-K11)/SUM(K11:K35)</f>
        <v>0.008477638438737271</v>
      </c>
      <c r="L47" t="s">
        <v>119</v>
      </c>
      <c r="M47">
        <f>M41*(SUM(M11:M35)-M11)/SUM(M11:M35)</f>
        <v>0.008477638438737273</v>
      </c>
      <c r="P47">
        <f>P41*(SUM(P11:P35)-P11)/SUM(P11:P35)</f>
        <v>0.015618208096474887</v>
      </c>
      <c r="Q47" t="s">
        <v>119</v>
      </c>
      <c r="R47">
        <f>R41*(SUM(R11:R35)-R11)/SUM(R11:R35)</f>
        <v>0.015618208096474885</v>
      </c>
      <c r="U47">
        <f>U41*(SUM(U11:U35)-U11)/SUM(U11:U35)</f>
        <v>0.00758779285956383</v>
      </c>
      <c r="V47" t="s">
        <v>119</v>
      </c>
      <c r="W47">
        <f>W41*(SUM(W11:W35)-W11)/SUM(W11:W35)</f>
        <v>0.007587792859563831</v>
      </c>
      <c r="Z47">
        <f>Z41*(SUM(Z11:Z35)-Z11)/SUM(Z11:Z35)</f>
        <v>0.011985663763909301</v>
      </c>
      <c r="AA47" t="s">
        <v>119</v>
      </c>
      <c r="AB47">
        <f>AB41*(SUM(AB11:AB35)-AB11)/SUM(AB11:AB35)</f>
        <v>0.011985663763909304</v>
      </c>
    </row>
  </sheetData>
  <printOptions headings="1" horizontalCentered="1"/>
  <pageMargins left="0.25" right="0.25" top="0.5" bottom="0.5" header="0.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B44"/>
  <sheetViews>
    <sheetView workbookViewId="0" topLeftCell="U1">
      <pane ySplit="1725" topLeftCell="BM1" activePane="bottomLeft" state="split"/>
      <selection pane="topLeft" activeCell="B2" sqref="B2"/>
      <selection pane="bottomLeft" activeCell="B2" sqref="B2"/>
    </sheetView>
  </sheetViews>
  <sheetFormatPr defaultColWidth="9.140625" defaultRowHeight="12.75"/>
  <cols>
    <col min="1" max="1" width="2.421875" style="0" customWidth="1"/>
    <col min="2" max="2" width="20.00390625" style="0" customWidth="1"/>
    <col min="3" max="3" width="11.28125" style="0" customWidth="1"/>
    <col min="4" max="4" width="4.57421875" style="0" customWidth="1"/>
    <col min="5" max="5" width="9.421875" style="0" customWidth="1"/>
    <col min="6" max="6" width="9.8515625" style="0" customWidth="1"/>
    <col min="8" max="8" width="9.8515625" style="0" customWidth="1"/>
    <col min="9" max="9" width="3.421875" style="50" customWidth="1"/>
    <col min="11" max="11" width="9.28125" style="0" customWidth="1"/>
    <col min="13" max="13" width="9.28125" style="0" customWidth="1"/>
    <col min="14" max="14" width="3.8515625" style="0" customWidth="1"/>
    <col min="16" max="16" width="9.00390625" style="0" customWidth="1"/>
    <col min="18" max="18" width="9.00390625" style="0" customWidth="1"/>
    <col min="19" max="19" width="3.8515625" style="0" customWidth="1"/>
    <col min="21" max="21" width="9.00390625" style="0" customWidth="1"/>
    <col min="23" max="23" width="9.00390625" style="0" customWidth="1"/>
    <col min="24" max="24" width="5.7109375" style="0" customWidth="1"/>
  </cols>
  <sheetData>
    <row r="1" spans="1:24" ht="12.75">
      <c r="A1" s="41" t="s">
        <v>72</v>
      </c>
      <c r="B1" s="27"/>
      <c r="C1" s="27"/>
      <c r="D1" s="27"/>
      <c r="E1" s="34"/>
      <c r="F1" s="35"/>
      <c r="G1" s="34"/>
      <c r="H1" s="35"/>
      <c r="I1" s="38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ht="12.75">
      <c r="A2" s="27" t="s">
        <v>479</v>
      </c>
      <c r="B2" s="27"/>
      <c r="C2" s="27"/>
      <c r="D2" s="27"/>
      <c r="E2" s="34"/>
      <c r="F2" s="35"/>
      <c r="G2" s="34"/>
      <c r="H2" s="35"/>
      <c r="I2" s="38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ht="12.75">
      <c r="A3" s="27" t="s">
        <v>20</v>
      </c>
      <c r="B3" s="27"/>
      <c r="C3" s="9" t="s">
        <v>129</v>
      </c>
      <c r="D3" s="9"/>
      <c r="E3" s="34"/>
      <c r="F3" s="35"/>
      <c r="G3" s="34"/>
      <c r="H3" s="35"/>
      <c r="I3" s="38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2.75">
      <c r="A4" s="27" t="s">
        <v>21</v>
      </c>
      <c r="B4" s="27"/>
      <c r="C4" s="9" t="s">
        <v>174</v>
      </c>
      <c r="D4" s="9"/>
      <c r="E4" s="36"/>
      <c r="F4" s="37"/>
      <c r="G4" s="36"/>
      <c r="H4" s="37"/>
      <c r="I4" s="38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</row>
    <row r="5" spans="1:24" ht="12.75">
      <c r="A5" s="27" t="s">
        <v>22</v>
      </c>
      <c r="B5" s="27"/>
      <c r="C5" s="12" t="s">
        <v>175</v>
      </c>
      <c r="D5" s="12"/>
      <c r="E5" s="12"/>
      <c r="F5" s="12"/>
      <c r="G5" s="12"/>
      <c r="H5" s="12"/>
      <c r="I5" s="45"/>
      <c r="J5" s="12"/>
      <c r="K5" s="34"/>
      <c r="L5" s="12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</row>
    <row r="6" spans="1:24" ht="12.75">
      <c r="A6" s="27"/>
      <c r="B6" s="27"/>
      <c r="C6" s="29"/>
      <c r="D6" s="29"/>
      <c r="E6" s="38"/>
      <c r="F6" s="35"/>
      <c r="G6" s="38"/>
      <c r="H6" s="35"/>
      <c r="I6" s="38"/>
      <c r="J6" s="38"/>
      <c r="K6" s="34"/>
      <c r="L6" s="38"/>
      <c r="M6" s="34"/>
      <c r="N6" s="34"/>
      <c r="O6" s="38"/>
      <c r="P6" s="34"/>
      <c r="Q6" s="38"/>
      <c r="R6" s="34"/>
      <c r="S6" s="34"/>
      <c r="T6" s="38"/>
      <c r="U6" s="34"/>
      <c r="V6" s="38"/>
      <c r="W6" s="34"/>
      <c r="X6" s="34"/>
    </row>
    <row r="7" spans="1:28" s="88" customFormat="1" ht="12.75">
      <c r="A7" s="27"/>
      <c r="B7" s="27"/>
      <c r="C7" s="29" t="s">
        <v>23</v>
      </c>
      <c r="D7" s="29"/>
      <c r="E7" s="39" t="s">
        <v>54</v>
      </c>
      <c r="F7" s="39"/>
      <c r="G7" s="39"/>
      <c r="H7" s="39"/>
      <c r="I7" s="11"/>
      <c r="J7" s="39" t="s">
        <v>109</v>
      </c>
      <c r="K7" s="39"/>
      <c r="L7" s="39"/>
      <c r="M7" s="39"/>
      <c r="N7" s="11"/>
      <c r="O7" s="39" t="s">
        <v>55</v>
      </c>
      <c r="P7" s="39"/>
      <c r="Q7" s="39"/>
      <c r="R7" s="39"/>
      <c r="S7" s="11"/>
      <c r="T7" s="39" t="s">
        <v>164</v>
      </c>
      <c r="U7" s="39"/>
      <c r="V7" s="39"/>
      <c r="W7" s="39"/>
      <c r="X7" s="11"/>
      <c r="Y7" s="39" t="s">
        <v>165</v>
      </c>
      <c r="Z7" s="39"/>
      <c r="AA7" s="39"/>
      <c r="AB7" s="39"/>
    </row>
    <row r="8" spans="1:28" s="88" customFormat="1" ht="12.75">
      <c r="A8" s="27"/>
      <c r="B8" s="27"/>
      <c r="C8" s="29" t="s">
        <v>24</v>
      </c>
      <c r="D8" s="27"/>
      <c r="E8" s="38" t="s">
        <v>25</v>
      </c>
      <c r="F8" s="37" t="s">
        <v>26</v>
      </c>
      <c r="G8" s="38" t="s">
        <v>25</v>
      </c>
      <c r="H8" s="37" t="s">
        <v>26</v>
      </c>
      <c r="I8" s="38"/>
      <c r="J8" s="38" t="s">
        <v>25</v>
      </c>
      <c r="K8" s="38" t="s">
        <v>27</v>
      </c>
      <c r="L8" s="38" t="s">
        <v>25</v>
      </c>
      <c r="M8" s="38" t="s">
        <v>27</v>
      </c>
      <c r="N8" s="34"/>
      <c r="O8" s="38" t="s">
        <v>25</v>
      </c>
      <c r="P8" s="38" t="s">
        <v>27</v>
      </c>
      <c r="Q8" s="38" t="s">
        <v>25</v>
      </c>
      <c r="R8" s="38" t="s">
        <v>27</v>
      </c>
      <c r="S8" s="34"/>
      <c r="T8" s="38" t="s">
        <v>25</v>
      </c>
      <c r="U8" s="38" t="s">
        <v>27</v>
      </c>
      <c r="V8" s="38" t="s">
        <v>25</v>
      </c>
      <c r="W8" s="38" t="s">
        <v>27</v>
      </c>
      <c r="X8" s="34"/>
      <c r="Y8" s="38" t="s">
        <v>25</v>
      </c>
      <c r="Z8" s="38" t="s">
        <v>27</v>
      </c>
      <c r="AA8" s="38" t="s">
        <v>25</v>
      </c>
      <c r="AB8" s="38" t="s">
        <v>27</v>
      </c>
    </row>
    <row r="9" spans="1:28" s="88" customFormat="1" ht="12.75">
      <c r="A9" s="27"/>
      <c r="B9" s="27"/>
      <c r="C9" s="29"/>
      <c r="D9" s="27"/>
      <c r="E9" s="38" t="s">
        <v>343</v>
      </c>
      <c r="F9" s="38" t="s">
        <v>343</v>
      </c>
      <c r="G9" s="38" t="s">
        <v>71</v>
      </c>
      <c r="H9" s="37" t="s">
        <v>71</v>
      </c>
      <c r="I9" s="38"/>
      <c r="J9" s="38" t="s">
        <v>343</v>
      </c>
      <c r="K9" s="38" t="s">
        <v>343</v>
      </c>
      <c r="L9" s="38" t="s">
        <v>71</v>
      </c>
      <c r="M9" s="37" t="s">
        <v>71</v>
      </c>
      <c r="N9" s="34"/>
      <c r="O9" s="38" t="s">
        <v>343</v>
      </c>
      <c r="P9" s="38" t="s">
        <v>343</v>
      </c>
      <c r="Q9" s="38" t="s">
        <v>71</v>
      </c>
      <c r="R9" s="37" t="s">
        <v>71</v>
      </c>
      <c r="S9" s="34"/>
      <c r="T9" s="38" t="s">
        <v>343</v>
      </c>
      <c r="U9" s="38" t="s">
        <v>343</v>
      </c>
      <c r="V9" s="38" t="s">
        <v>71</v>
      </c>
      <c r="W9" s="37" t="s">
        <v>71</v>
      </c>
      <c r="X9" s="34"/>
      <c r="Y9" s="38" t="s">
        <v>343</v>
      </c>
      <c r="Z9" s="38" t="s">
        <v>343</v>
      </c>
      <c r="AA9" s="38" t="s">
        <v>71</v>
      </c>
      <c r="AB9" s="37" t="s">
        <v>71</v>
      </c>
    </row>
    <row r="10" spans="1:28" ht="12.75">
      <c r="A10" s="27" t="s">
        <v>103</v>
      </c>
      <c r="B10" s="27"/>
      <c r="C10" s="27"/>
      <c r="D10" s="27"/>
      <c r="E10" s="34"/>
      <c r="F10" s="35"/>
      <c r="G10" s="34"/>
      <c r="H10" s="35"/>
      <c r="I10" s="38"/>
      <c r="J10" s="34"/>
      <c r="K10" s="34"/>
      <c r="L10" s="34"/>
      <c r="M10" s="34"/>
      <c r="N10" s="34"/>
      <c r="O10" s="30"/>
      <c r="P10" s="34"/>
      <c r="Q10" s="34"/>
      <c r="R10" s="34"/>
      <c r="S10" s="34"/>
      <c r="T10" s="30"/>
      <c r="U10" s="34"/>
      <c r="V10" s="34"/>
      <c r="W10" s="34"/>
      <c r="X10" s="34"/>
      <c r="Y10" s="30"/>
      <c r="Z10" s="34"/>
      <c r="AA10" s="34"/>
      <c r="AB10" s="34"/>
    </row>
    <row r="11" spans="1:28" ht="12.75">
      <c r="A11" s="27"/>
      <c r="B11" s="27" t="s">
        <v>28</v>
      </c>
      <c r="C11" s="29">
        <v>1</v>
      </c>
      <c r="E11">
        <v>53</v>
      </c>
      <c r="F11" s="32">
        <f aca="true" t="shared" si="0" ref="F11:H35">IF(E11="","",E11*$C11)</f>
        <v>53</v>
      </c>
      <c r="G11" s="32">
        <f aca="true" t="shared" si="1" ref="G11:G35">IF(E11=0,"",IF(D11="nd",E11/2,E11))</f>
        <v>53</v>
      </c>
      <c r="H11" s="32">
        <f t="shared" si="0"/>
        <v>53</v>
      </c>
      <c r="I11"/>
      <c r="J11">
        <v>40</v>
      </c>
      <c r="K11" s="32">
        <f aca="true" t="shared" si="2" ref="K11:M35">IF(J11="","",J11*$C11)</f>
        <v>40</v>
      </c>
      <c r="L11" s="32">
        <f aca="true" t="shared" si="3" ref="L11:L35">IF(J11=0,"",IF(I11="nd",J11/2,J11))</f>
        <v>40</v>
      </c>
      <c r="M11" s="32">
        <f t="shared" si="2"/>
        <v>40</v>
      </c>
      <c r="O11">
        <v>23</v>
      </c>
      <c r="P11" s="40">
        <f aca="true" t="shared" si="4" ref="P11:R35">IF(O11="","",O11*$C11)</f>
        <v>23</v>
      </c>
      <c r="Q11" s="40">
        <f aca="true" t="shared" si="5" ref="Q11:Q35">IF(O11=0,"",IF(N11="nd",O11/2,O11))</f>
        <v>23</v>
      </c>
      <c r="R11" s="40">
        <f t="shared" si="4"/>
        <v>23</v>
      </c>
      <c r="T11">
        <v>13</v>
      </c>
      <c r="U11" s="40">
        <f aca="true" t="shared" si="6" ref="U11:W35">IF(T11="","",T11*$C11)</f>
        <v>13</v>
      </c>
      <c r="V11" s="40">
        <f aca="true" t="shared" si="7" ref="V11:V35">IF(T11=0,"",IF(S11="nd",T11/2,T11))</f>
        <v>13</v>
      </c>
      <c r="W11" s="40">
        <f t="shared" si="6"/>
        <v>13</v>
      </c>
      <c r="Y11">
        <v>17</v>
      </c>
      <c r="Z11" s="40">
        <f aca="true" t="shared" si="8" ref="Z11:AB35">IF(Y11="","",Y11*$C11)</f>
        <v>17</v>
      </c>
      <c r="AA11" s="40">
        <f aca="true" t="shared" si="9" ref="AA11:AA35">IF(Y11=0,"",IF(X11="nd",Y11/2,Y11))</f>
        <v>17</v>
      </c>
      <c r="AB11" s="40">
        <f t="shared" si="8"/>
        <v>17</v>
      </c>
    </row>
    <row r="12" spans="1:28" ht="12.75">
      <c r="A12" s="27"/>
      <c r="B12" s="27" t="s">
        <v>93</v>
      </c>
      <c r="C12" s="29">
        <v>0</v>
      </c>
      <c r="E12">
        <v>1500</v>
      </c>
      <c r="F12" s="40">
        <f t="shared" si="0"/>
        <v>0</v>
      </c>
      <c r="G12" s="40">
        <f t="shared" si="1"/>
        <v>1500</v>
      </c>
      <c r="H12" s="40">
        <f t="shared" si="0"/>
        <v>0</v>
      </c>
      <c r="I12"/>
      <c r="J12">
        <v>1100</v>
      </c>
      <c r="K12" s="32">
        <f t="shared" si="2"/>
        <v>0</v>
      </c>
      <c r="L12" s="40">
        <f t="shared" si="3"/>
        <v>1100</v>
      </c>
      <c r="M12" s="32">
        <f t="shared" si="2"/>
        <v>0</v>
      </c>
      <c r="O12">
        <v>720</v>
      </c>
      <c r="P12" s="40">
        <f t="shared" si="4"/>
        <v>0</v>
      </c>
      <c r="Q12" s="40">
        <f t="shared" si="5"/>
        <v>720</v>
      </c>
      <c r="R12" s="40">
        <f t="shared" si="4"/>
        <v>0</v>
      </c>
      <c r="T12">
        <v>410</v>
      </c>
      <c r="U12" s="40">
        <f t="shared" si="6"/>
        <v>0</v>
      </c>
      <c r="V12" s="40">
        <f t="shared" si="7"/>
        <v>410</v>
      </c>
      <c r="W12" s="40">
        <f t="shared" si="6"/>
        <v>0</v>
      </c>
      <c r="Y12">
        <v>530</v>
      </c>
      <c r="Z12" s="40">
        <f t="shared" si="8"/>
        <v>0</v>
      </c>
      <c r="AA12" s="40">
        <f t="shared" si="9"/>
        <v>530</v>
      </c>
      <c r="AB12" s="40">
        <f t="shared" si="8"/>
        <v>0</v>
      </c>
    </row>
    <row r="13" spans="1:28" ht="12.75">
      <c r="A13" s="27"/>
      <c r="B13" s="27" t="s">
        <v>29</v>
      </c>
      <c r="C13" s="29">
        <v>0.5</v>
      </c>
      <c r="E13">
        <v>93</v>
      </c>
      <c r="F13" s="32">
        <f t="shared" si="0"/>
        <v>46.5</v>
      </c>
      <c r="G13" s="32">
        <f t="shared" si="1"/>
        <v>93</v>
      </c>
      <c r="H13" s="32">
        <f t="shared" si="0"/>
        <v>46.5</v>
      </c>
      <c r="I13"/>
      <c r="J13">
        <v>76</v>
      </c>
      <c r="K13" s="32">
        <f t="shared" si="2"/>
        <v>38</v>
      </c>
      <c r="L13" s="32">
        <f t="shared" si="3"/>
        <v>76</v>
      </c>
      <c r="M13" s="32">
        <f t="shared" si="2"/>
        <v>38</v>
      </c>
      <c r="O13">
        <v>44</v>
      </c>
      <c r="P13" s="40">
        <f t="shared" si="4"/>
        <v>22</v>
      </c>
      <c r="Q13" s="40">
        <f t="shared" si="5"/>
        <v>44</v>
      </c>
      <c r="R13" s="40">
        <f t="shared" si="4"/>
        <v>22</v>
      </c>
      <c r="T13">
        <v>21</v>
      </c>
      <c r="U13" s="40">
        <f t="shared" si="6"/>
        <v>10.5</v>
      </c>
      <c r="V13" s="40">
        <f t="shared" si="7"/>
        <v>21</v>
      </c>
      <c r="W13" s="40">
        <f t="shared" si="6"/>
        <v>10.5</v>
      </c>
      <c r="Y13">
        <v>24</v>
      </c>
      <c r="Z13" s="40">
        <f t="shared" si="8"/>
        <v>12</v>
      </c>
      <c r="AA13" s="40">
        <f t="shared" si="9"/>
        <v>24</v>
      </c>
      <c r="AB13" s="40">
        <f t="shared" si="8"/>
        <v>12</v>
      </c>
    </row>
    <row r="14" spans="1:28" ht="12.75">
      <c r="A14" s="27"/>
      <c r="B14" s="27" t="s">
        <v>94</v>
      </c>
      <c r="C14" s="29">
        <v>0</v>
      </c>
      <c r="E14">
        <v>1800</v>
      </c>
      <c r="F14" s="40">
        <f t="shared" si="0"/>
        <v>0</v>
      </c>
      <c r="G14" s="40">
        <f t="shared" si="1"/>
        <v>1800</v>
      </c>
      <c r="H14" s="40">
        <f t="shared" si="0"/>
        <v>0</v>
      </c>
      <c r="I14"/>
      <c r="J14">
        <v>1100</v>
      </c>
      <c r="K14" s="32">
        <f t="shared" si="2"/>
        <v>0</v>
      </c>
      <c r="L14" s="40">
        <f t="shared" si="3"/>
        <v>1100</v>
      </c>
      <c r="M14" s="32">
        <f t="shared" si="2"/>
        <v>0</v>
      </c>
      <c r="O14">
        <v>660</v>
      </c>
      <c r="P14" s="40">
        <f t="shared" si="4"/>
        <v>0</v>
      </c>
      <c r="Q14" s="40">
        <f t="shared" si="5"/>
        <v>660</v>
      </c>
      <c r="R14" s="40">
        <f t="shared" si="4"/>
        <v>0</v>
      </c>
      <c r="T14">
        <v>320</v>
      </c>
      <c r="U14" s="40">
        <f t="shared" si="6"/>
        <v>0</v>
      </c>
      <c r="V14" s="40">
        <f t="shared" si="7"/>
        <v>320</v>
      </c>
      <c r="W14" s="40">
        <f t="shared" si="6"/>
        <v>0</v>
      </c>
      <c r="Y14">
        <v>390</v>
      </c>
      <c r="Z14" s="40">
        <f t="shared" si="8"/>
        <v>0</v>
      </c>
      <c r="AA14" s="40">
        <f t="shared" si="9"/>
        <v>390</v>
      </c>
      <c r="AB14" s="40">
        <f t="shared" si="8"/>
        <v>0</v>
      </c>
    </row>
    <row r="15" spans="1:28" ht="12.75">
      <c r="A15" s="27"/>
      <c r="B15" s="27" t="s">
        <v>30</v>
      </c>
      <c r="C15" s="29">
        <v>0.1</v>
      </c>
      <c r="E15">
        <v>62</v>
      </c>
      <c r="F15" s="32">
        <f t="shared" si="0"/>
        <v>6.2</v>
      </c>
      <c r="G15" s="32">
        <f t="shared" si="1"/>
        <v>62</v>
      </c>
      <c r="H15" s="32">
        <f t="shared" si="0"/>
        <v>6.2</v>
      </c>
      <c r="I15"/>
      <c r="J15">
        <v>69</v>
      </c>
      <c r="K15" s="32">
        <f t="shared" si="2"/>
        <v>6.9</v>
      </c>
      <c r="L15" s="32">
        <f t="shared" si="3"/>
        <v>69</v>
      </c>
      <c r="M15" s="32">
        <f t="shared" si="2"/>
        <v>6.9</v>
      </c>
      <c r="O15">
        <v>49</v>
      </c>
      <c r="P15" s="40">
        <f t="shared" si="4"/>
        <v>4.9</v>
      </c>
      <c r="Q15" s="40">
        <f t="shared" si="5"/>
        <v>49</v>
      </c>
      <c r="R15" s="40">
        <f t="shared" si="4"/>
        <v>4.9</v>
      </c>
      <c r="T15">
        <v>16</v>
      </c>
      <c r="U15" s="40">
        <f t="shared" si="6"/>
        <v>1.6</v>
      </c>
      <c r="V15" s="40">
        <f t="shared" si="7"/>
        <v>16</v>
      </c>
      <c r="W15" s="40">
        <f t="shared" si="6"/>
        <v>1.6</v>
      </c>
      <c r="Y15">
        <v>18</v>
      </c>
      <c r="Z15" s="40">
        <f t="shared" si="8"/>
        <v>1.8</v>
      </c>
      <c r="AA15" s="40">
        <f t="shared" si="9"/>
        <v>18</v>
      </c>
      <c r="AB15" s="40">
        <f t="shared" si="8"/>
        <v>1.8</v>
      </c>
    </row>
    <row r="16" spans="1:28" ht="12.75">
      <c r="A16" s="27"/>
      <c r="B16" s="27" t="s">
        <v>31</v>
      </c>
      <c r="C16" s="29">
        <v>0.1</v>
      </c>
      <c r="E16">
        <v>120</v>
      </c>
      <c r="F16" s="32">
        <f t="shared" si="0"/>
        <v>12</v>
      </c>
      <c r="G16" s="32">
        <f t="shared" si="1"/>
        <v>120</v>
      </c>
      <c r="H16" s="32">
        <f t="shared" si="0"/>
        <v>12</v>
      </c>
      <c r="I16"/>
      <c r="J16">
        <v>76</v>
      </c>
      <c r="K16" s="32">
        <f t="shared" si="2"/>
        <v>7.6000000000000005</v>
      </c>
      <c r="L16" s="32">
        <f t="shared" si="3"/>
        <v>76</v>
      </c>
      <c r="M16" s="32">
        <f t="shared" si="2"/>
        <v>7.6000000000000005</v>
      </c>
      <c r="O16">
        <v>58</v>
      </c>
      <c r="P16" s="40">
        <f t="shared" si="4"/>
        <v>5.800000000000001</v>
      </c>
      <c r="Q16" s="40">
        <f t="shared" si="5"/>
        <v>58</v>
      </c>
      <c r="R16" s="40">
        <f t="shared" si="4"/>
        <v>5.800000000000001</v>
      </c>
      <c r="T16">
        <v>22</v>
      </c>
      <c r="U16" s="40">
        <f t="shared" si="6"/>
        <v>2.2</v>
      </c>
      <c r="V16" s="40">
        <f t="shared" si="7"/>
        <v>22</v>
      </c>
      <c r="W16" s="40">
        <f t="shared" si="6"/>
        <v>2.2</v>
      </c>
      <c r="Y16">
        <v>26</v>
      </c>
      <c r="Z16" s="40">
        <f t="shared" si="8"/>
        <v>2.6</v>
      </c>
      <c r="AA16" s="40">
        <f t="shared" si="9"/>
        <v>26</v>
      </c>
      <c r="AB16" s="40">
        <f t="shared" si="8"/>
        <v>2.6</v>
      </c>
    </row>
    <row r="17" spans="1:28" ht="12.75">
      <c r="A17" s="27"/>
      <c r="B17" s="27" t="s">
        <v>32</v>
      </c>
      <c r="C17" s="29">
        <v>0.1</v>
      </c>
      <c r="E17">
        <v>51</v>
      </c>
      <c r="F17" s="32">
        <f t="shared" si="0"/>
        <v>5.1000000000000005</v>
      </c>
      <c r="G17" s="32">
        <f t="shared" si="1"/>
        <v>51</v>
      </c>
      <c r="H17" s="32">
        <f t="shared" si="0"/>
        <v>5.1000000000000005</v>
      </c>
      <c r="I17"/>
      <c r="J17">
        <v>40</v>
      </c>
      <c r="K17" s="32">
        <f t="shared" si="2"/>
        <v>4</v>
      </c>
      <c r="L17" s="32">
        <f t="shared" si="3"/>
        <v>40</v>
      </c>
      <c r="M17" s="32">
        <f t="shared" si="2"/>
        <v>4</v>
      </c>
      <c r="O17">
        <v>39</v>
      </c>
      <c r="P17" s="40">
        <f t="shared" si="4"/>
        <v>3.9000000000000004</v>
      </c>
      <c r="Q17" s="40">
        <f t="shared" si="5"/>
        <v>39</v>
      </c>
      <c r="R17" s="40">
        <f t="shared" si="4"/>
        <v>3.9000000000000004</v>
      </c>
      <c r="T17">
        <v>12</v>
      </c>
      <c r="U17" s="40">
        <f t="shared" si="6"/>
        <v>1.2000000000000002</v>
      </c>
      <c r="V17" s="40">
        <f t="shared" si="7"/>
        <v>12</v>
      </c>
      <c r="W17" s="40">
        <f t="shared" si="6"/>
        <v>1.2000000000000002</v>
      </c>
      <c r="Y17">
        <v>12</v>
      </c>
      <c r="Z17" s="40">
        <f t="shared" si="8"/>
        <v>1.2000000000000002</v>
      </c>
      <c r="AA17" s="40">
        <f t="shared" si="9"/>
        <v>12</v>
      </c>
      <c r="AB17" s="40">
        <f t="shared" si="8"/>
        <v>1.2000000000000002</v>
      </c>
    </row>
    <row r="18" spans="1:28" ht="12.75">
      <c r="A18" s="27"/>
      <c r="B18" s="27" t="s">
        <v>95</v>
      </c>
      <c r="C18" s="29">
        <v>0</v>
      </c>
      <c r="E18">
        <v>2400</v>
      </c>
      <c r="F18" s="40">
        <f t="shared" si="0"/>
        <v>0</v>
      </c>
      <c r="G18" s="40">
        <f t="shared" si="1"/>
        <v>2400</v>
      </c>
      <c r="H18" s="40">
        <f t="shared" si="0"/>
        <v>0</v>
      </c>
      <c r="I18"/>
      <c r="J18">
        <v>1000</v>
      </c>
      <c r="K18" s="32">
        <f t="shared" si="2"/>
        <v>0</v>
      </c>
      <c r="L18" s="40">
        <f t="shared" si="3"/>
        <v>1000</v>
      </c>
      <c r="M18" s="32">
        <f t="shared" si="2"/>
        <v>0</v>
      </c>
      <c r="O18">
        <v>770</v>
      </c>
      <c r="P18" s="40">
        <f t="shared" si="4"/>
        <v>0</v>
      </c>
      <c r="Q18" s="40">
        <f t="shared" si="5"/>
        <v>770</v>
      </c>
      <c r="R18" s="40">
        <f t="shared" si="4"/>
        <v>0</v>
      </c>
      <c r="T18">
        <v>310</v>
      </c>
      <c r="U18" s="40">
        <f t="shared" si="6"/>
        <v>0</v>
      </c>
      <c r="V18" s="40">
        <f t="shared" si="7"/>
        <v>310</v>
      </c>
      <c r="W18" s="40">
        <f t="shared" si="6"/>
        <v>0</v>
      </c>
      <c r="Y18">
        <v>370</v>
      </c>
      <c r="Z18" s="40">
        <f t="shared" si="8"/>
        <v>0</v>
      </c>
      <c r="AA18" s="40">
        <f t="shared" si="9"/>
        <v>370</v>
      </c>
      <c r="AB18" s="40">
        <f t="shared" si="8"/>
        <v>0</v>
      </c>
    </row>
    <row r="19" spans="1:28" ht="12.75">
      <c r="A19" s="27"/>
      <c r="B19" s="27" t="s">
        <v>33</v>
      </c>
      <c r="C19" s="29">
        <v>0.01</v>
      </c>
      <c r="E19">
        <v>360</v>
      </c>
      <c r="F19" s="32">
        <f t="shared" si="0"/>
        <v>3.6</v>
      </c>
      <c r="G19" s="32">
        <f t="shared" si="1"/>
        <v>360</v>
      </c>
      <c r="H19" s="32">
        <f t="shared" si="0"/>
        <v>3.6</v>
      </c>
      <c r="I19"/>
      <c r="J19">
        <v>250</v>
      </c>
      <c r="K19" s="32">
        <f t="shared" si="2"/>
        <v>2.5</v>
      </c>
      <c r="L19" s="32">
        <f t="shared" si="3"/>
        <v>250</v>
      </c>
      <c r="M19" s="32">
        <f t="shared" si="2"/>
        <v>2.5</v>
      </c>
      <c r="O19">
        <v>280</v>
      </c>
      <c r="P19" s="40">
        <f t="shared" si="4"/>
        <v>2.8000000000000003</v>
      </c>
      <c r="Q19" s="40">
        <f t="shared" si="5"/>
        <v>280</v>
      </c>
      <c r="R19" s="40">
        <f t="shared" si="4"/>
        <v>2.8000000000000003</v>
      </c>
      <c r="T19">
        <v>62</v>
      </c>
      <c r="U19" s="40">
        <f t="shared" si="6"/>
        <v>0.62</v>
      </c>
      <c r="V19" s="40">
        <f t="shared" si="7"/>
        <v>62</v>
      </c>
      <c r="W19" s="40">
        <f t="shared" si="6"/>
        <v>0.62</v>
      </c>
      <c r="Y19">
        <v>65</v>
      </c>
      <c r="Z19" s="40">
        <f t="shared" si="8"/>
        <v>0.65</v>
      </c>
      <c r="AA19" s="40">
        <f t="shared" si="9"/>
        <v>65</v>
      </c>
      <c r="AB19" s="40">
        <f t="shared" si="8"/>
        <v>0.65</v>
      </c>
    </row>
    <row r="20" spans="1:28" ht="12.75">
      <c r="A20" s="27"/>
      <c r="B20" s="27" t="s">
        <v>96</v>
      </c>
      <c r="C20" s="29">
        <v>0</v>
      </c>
      <c r="E20">
        <v>840</v>
      </c>
      <c r="F20" s="40">
        <f t="shared" si="0"/>
        <v>0</v>
      </c>
      <c r="G20" s="40">
        <f t="shared" si="1"/>
        <v>840</v>
      </c>
      <c r="H20" s="40">
        <f t="shared" si="0"/>
        <v>0</v>
      </c>
      <c r="I20"/>
      <c r="J20">
        <v>580</v>
      </c>
      <c r="K20" s="32">
        <f t="shared" si="2"/>
        <v>0</v>
      </c>
      <c r="L20" s="40">
        <f t="shared" si="3"/>
        <v>580</v>
      </c>
      <c r="M20" s="32">
        <f t="shared" si="2"/>
        <v>0</v>
      </c>
      <c r="O20">
        <v>640</v>
      </c>
      <c r="P20" s="40">
        <f t="shared" si="4"/>
        <v>0</v>
      </c>
      <c r="Q20" s="40">
        <f t="shared" si="5"/>
        <v>640</v>
      </c>
      <c r="R20" s="40">
        <f t="shared" si="4"/>
        <v>0</v>
      </c>
      <c r="T20">
        <v>150</v>
      </c>
      <c r="U20" s="40">
        <f t="shared" si="6"/>
        <v>0</v>
      </c>
      <c r="V20" s="40">
        <f t="shared" si="7"/>
        <v>150</v>
      </c>
      <c r="W20" s="40">
        <f t="shared" si="6"/>
        <v>0</v>
      </c>
      <c r="Y20">
        <v>160</v>
      </c>
      <c r="Z20" s="40">
        <f t="shared" si="8"/>
        <v>0</v>
      </c>
      <c r="AA20" s="40">
        <f t="shared" si="9"/>
        <v>160</v>
      </c>
      <c r="AB20" s="40">
        <f t="shared" si="8"/>
        <v>0</v>
      </c>
    </row>
    <row r="21" spans="1:28" ht="12.75">
      <c r="A21" s="27"/>
      <c r="B21" s="27" t="s">
        <v>34</v>
      </c>
      <c r="C21" s="29">
        <v>0.001</v>
      </c>
      <c r="E21">
        <v>230</v>
      </c>
      <c r="F21" s="32">
        <f t="shared" si="0"/>
        <v>0.23</v>
      </c>
      <c r="G21" s="32">
        <f t="shared" si="1"/>
        <v>230</v>
      </c>
      <c r="H21" s="32">
        <f t="shared" si="0"/>
        <v>0.23</v>
      </c>
      <c r="I21"/>
      <c r="J21">
        <v>660</v>
      </c>
      <c r="K21" s="32">
        <f t="shared" si="2"/>
        <v>0.66</v>
      </c>
      <c r="L21" s="40">
        <f t="shared" si="3"/>
        <v>660</v>
      </c>
      <c r="M21" s="32">
        <f t="shared" si="2"/>
        <v>0.66</v>
      </c>
      <c r="O21">
        <v>860</v>
      </c>
      <c r="P21" s="40">
        <f t="shared" si="4"/>
        <v>0.86</v>
      </c>
      <c r="Q21" s="40">
        <f t="shared" si="5"/>
        <v>860</v>
      </c>
      <c r="R21" s="40">
        <f t="shared" si="4"/>
        <v>0.86</v>
      </c>
      <c r="T21">
        <v>80</v>
      </c>
      <c r="U21" s="40">
        <f t="shared" si="6"/>
        <v>0.08</v>
      </c>
      <c r="V21" s="40">
        <f t="shared" si="7"/>
        <v>80</v>
      </c>
      <c r="W21" s="40">
        <f t="shared" si="6"/>
        <v>0.08</v>
      </c>
      <c r="Y21">
        <v>76</v>
      </c>
      <c r="Z21" s="40">
        <f t="shared" si="8"/>
        <v>0.076</v>
      </c>
      <c r="AA21" s="40">
        <f t="shared" si="9"/>
        <v>76</v>
      </c>
      <c r="AB21" s="40">
        <f t="shared" si="8"/>
        <v>0.076</v>
      </c>
    </row>
    <row r="22" spans="1:28" ht="12.75">
      <c r="A22" s="27"/>
      <c r="B22" s="27" t="s">
        <v>35</v>
      </c>
      <c r="C22" s="29">
        <v>0.1</v>
      </c>
      <c r="E22">
        <v>600</v>
      </c>
      <c r="F22" s="32">
        <f t="shared" si="0"/>
        <v>60</v>
      </c>
      <c r="G22" s="32">
        <f t="shared" si="1"/>
        <v>600</v>
      </c>
      <c r="H22" s="32">
        <f t="shared" si="0"/>
        <v>60</v>
      </c>
      <c r="I22"/>
      <c r="J22">
        <v>460</v>
      </c>
      <c r="K22" s="32">
        <f t="shared" si="2"/>
        <v>46</v>
      </c>
      <c r="L22" s="40">
        <f t="shared" si="3"/>
        <v>460</v>
      </c>
      <c r="M22" s="32">
        <f t="shared" si="2"/>
        <v>46</v>
      </c>
      <c r="O22">
        <v>270</v>
      </c>
      <c r="P22" s="40">
        <f t="shared" si="4"/>
        <v>27</v>
      </c>
      <c r="Q22" s="40">
        <f t="shared" si="5"/>
        <v>270</v>
      </c>
      <c r="R22" s="40">
        <f t="shared" si="4"/>
        <v>27</v>
      </c>
      <c r="T22">
        <v>150</v>
      </c>
      <c r="U22" s="40">
        <f t="shared" si="6"/>
        <v>15</v>
      </c>
      <c r="V22" s="40">
        <f t="shared" si="7"/>
        <v>150</v>
      </c>
      <c r="W22" s="40">
        <f t="shared" si="6"/>
        <v>15</v>
      </c>
      <c r="Y22">
        <v>200</v>
      </c>
      <c r="Z22" s="40">
        <f t="shared" si="8"/>
        <v>20</v>
      </c>
      <c r="AA22" s="40">
        <f t="shared" si="9"/>
        <v>200</v>
      </c>
      <c r="AB22" s="40">
        <f t="shared" si="8"/>
        <v>20</v>
      </c>
    </row>
    <row r="23" spans="1:28" ht="12.75">
      <c r="A23" s="27"/>
      <c r="B23" s="27" t="s">
        <v>97</v>
      </c>
      <c r="C23" s="29">
        <v>0</v>
      </c>
      <c r="E23">
        <v>34000</v>
      </c>
      <c r="F23" s="40">
        <f t="shared" si="0"/>
        <v>0</v>
      </c>
      <c r="G23" s="40">
        <f t="shared" si="1"/>
        <v>34000</v>
      </c>
      <c r="H23" s="40">
        <f t="shared" si="0"/>
        <v>0</v>
      </c>
      <c r="I23"/>
      <c r="J23">
        <v>27000</v>
      </c>
      <c r="K23" s="32">
        <f t="shared" si="2"/>
        <v>0</v>
      </c>
      <c r="L23" s="40">
        <f t="shared" si="3"/>
        <v>27000</v>
      </c>
      <c r="M23" s="32">
        <f t="shared" si="2"/>
        <v>0</v>
      </c>
      <c r="O23">
        <v>12000</v>
      </c>
      <c r="P23" s="40">
        <f t="shared" si="4"/>
        <v>0</v>
      </c>
      <c r="Q23" s="40">
        <f t="shared" si="5"/>
        <v>12000</v>
      </c>
      <c r="R23" s="40">
        <f t="shared" si="4"/>
        <v>0</v>
      </c>
      <c r="T23">
        <v>7000</v>
      </c>
      <c r="U23" s="40">
        <f t="shared" si="6"/>
        <v>0</v>
      </c>
      <c r="V23" s="40">
        <f t="shared" si="7"/>
        <v>7000</v>
      </c>
      <c r="W23" s="40">
        <f t="shared" si="6"/>
        <v>0</v>
      </c>
      <c r="Y23">
        <v>8900</v>
      </c>
      <c r="Z23" s="40">
        <f t="shared" si="8"/>
        <v>0</v>
      </c>
      <c r="AA23" s="40">
        <f t="shared" si="9"/>
        <v>8900</v>
      </c>
      <c r="AB23" s="40">
        <f t="shared" si="8"/>
        <v>0</v>
      </c>
    </row>
    <row r="24" spans="1:28" ht="12.75">
      <c r="A24" s="27"/>
      <c r="B24" s="27" t="s">
        <v>36</v>
      </c>
      <c r="C24" s="29">
        <v>0.05</v>
      </c>
      <c r="E24">
        <v>840</v>
      </c>
      <c r="F24" s="32">
        <f t="shared" si="0"/>
        <v>42</v>
      </c>
      <c r="G24" s="40">
        <f t="shared" si="1"/>
        <v>840</v>
      </c>
      <c r="H24" s="32">
        <f t="shared" si="0"/>
        <v>42</v>
      </c>
      <c r="I24"/>
      <c r="J24">
        <v>990</v>
      </c>
      <c r="K24" s="32">
        <f t="shared" si="2"/>
        <v>49.5</v>
      </c>
      <c r="L24" s="40">
        <f t="shared" si="3"/>
        <v>990</v>
      </c>
      <c r="M24" s="32">
        <f t="shared" si="2"/>
        <v>49.5</v>
      </c>
      <c r="O24">
        <v>400</v>
      </c>
      <c r="P24" s="40">
        <f t="shared" si="4"/>
        <v>20</v>
      </c>
      <c r="Q24" s="40">
        <f t="shared" si="5"/>
        <v>400</v>
      </c>
      <c r="R24" s="40">
        <f t="shared" si="4"/>
        <v>20</v>
      </c>
      <c r="T24">
        <v>170</v>
      </c>
      <c r="U24" s="40">
        <f t="shared" si="6"/>
        <v>8.5</v>
      </c>
      <c r="V24" s="40">
        <f t="shared" si="7"/>
        <v>170</v>
      </c>
      <c r="W24" s="40">
        <f t="shared" si="6"/>
        <v>8.5</v>
      </c>
      <c r="Y24">
        <v>210</v>
      </c>
      <c r="Z24" s="40">
        <f t="shared" si="8"/>
        <v>10.5</v>
      </c>
      <c r="AA24" s="40">
        <f t="shared" si="9"/>
        <v>210</v>
      </c>
      <c r="AB24" s="40">
        <f t="shared" si="8"/>
        <v>10.5</v>
      </c>
    </row>
    <row r="25" spans="1:28" ht="12.75">
      <c r="A25" s="27"/>
      <c r="B25" s="27" t="s">
        <v>37</v>
      </c>
      <c r="C25" s="29">
        <v>0.5</v>
      </c>
      <c r="E25">
        <v>750</v>
      </c>
      <c r="F25" s="40">
        <f t="shared" si="0"/>
        <v>375</v>
      </c>
      <c r="G25" s="40">
        <f t="shared" si="1"/>
        <v>750</v>
      </c>
      <c r="H25" s="40">
        <f t="shared" si="0"/>
        <v>375</v>
      </c>
      <c r="I25"/>
      <c r="J25">
        <v>740</v>
      </c>
      <c r="K25" s="32">
        <f t="shared" si="2"/>
        <v>370</v>
      </c>
      <c r="L25" s="40">
        <f t="shared" si="3"/>
        <v>740</v>
      </c>
      <c r="M25" s="32">
        <f t="shared" si="2"/>
        <v>370</v>
      </c>
      <c r="O25">
        <v>460</v>
      </c>
      <c r="P25" s="40">
        <f t="shared" si="4"/>
        <v>230</v>
      </c>
      <c r="Q25" s="40">
        <f t="shared" si="5"/>
        <v>460</v>
      </c>
      <c r="R25" s="40">
        <f t="shared" si="4"/>
        <v>230</v>
      </c>
      <c r="T25">
        <v>210</v>
      </c>
      <c r="U25" s="40">
        <f t="shared" si="6"/>
        <v>105</v>
      </c>
      <c r="V25" s="40">
        <f t="shared" si="7"/>
        <v>210</v>
      </c>
      <c r="W25" s="40">
        <f t="shared" si="6"/>
        <v>105</v>
      </c>
      <c r="Y25">
        <v>240</v>
      </c>
      <c r="Z25" s="40">
        <f t="shared" si="8"/>
        <v>120</v>
      </c>
      <c r="AA25" s="40">
        <f t="shared" si="9"/>
        <v>240</v>
      </c>
      <c r="AB25" s="40">
        <f t="shared" si="8"/>
        <v>120</v>
      </c>
    </row>
    <row r="26" spans="1:28" ht="12.75">
      <c r="A26" s="27"/>
      <c r="B26" s="27" t="s">
        <v>98</v>
      </c>
      <c r="C26" s="29">
        <v>0</v>
      </c>
      <c r="E26">
        <v>21000</v>
      </c>
      <c r="F26" s="40">
        <f t="shared" si="0"/>
        <v>0</v>
      </c>
      <c r="G26" s="40">
        <f t="shared" si="1"/>
        <v>21000</v>
      </c>
      <c r="H26" s="40">
        <f t="shared" si="0"/>
        <v>0</v>
      </c>
      <c r="I26"/>
      <c r="J26">
        <v>28000</v>
      </c>
      <c r="K26" s="32">
        <f t="shared" si="2"/>
        <v>0</v>
      </c>
      <c r="L26" s="40">
        <f t="shared" si="3"/>
        <v>28000</v>
      </c>
      <c r="M26" s="32">
        <f t="shared" si="2"/>
        <v>0</v>
      </c>
      <c r="O26">
        <v>9900</v>
      </c>
      <c r="P26" s="40">
        <f t="shared" si="4"/>
        <v>0</v>
      </c>
      <c r="Q26" s="40">
        <f t="shared" si="5"/>
        <v>9900</v>
      </c>
      <c r="R26" s="40">
        <f t="shared" si="4"/>
        <v>0</v>
      </c>
      <c r="T26">
        <v>4200</v>
      </c>
      <c r="U26" s="40">
        <f t="shared" si="6"/>
        <v>0</v>
      </c>
      <c r="V26" s="40">
        <f t="shared" si="7"/>
        <v>4200</v>
      </c>
      <c r="W26" s="40">
        <f t="shared" si="6"/>
        <v>0</v>
      </c>
      <c r="Y26">
        <v>5300</v>
      </c>
      <c r="Z26" s="40">
        <f t="shared" si="8"/>
        <v>0</v>
      </c>
      <c r="AA26" s="40">
        <f t="shared" si="9"/>
        <v>5300</v>
      </c>
      <c r="AB26" s="40">
        <f t="shared" si="8"/>
        <v>0</v>
      </c>
    </row>
    <row r="27" spans="1:28" ht="12.75">
      <c r="A27" s="27"/>
      <c r="B27" s="27" t="s">
        <v>38</v>
      </c>
      <c r="C27" s="29">
        <v>0.1</v>
      </c>
      <c r="E27">
        <v>1100</v>
      </c>
      <c r="F27" s="40">
        <f t="shared" si="0"/>
        <v>110</v>
      </c>
      <c r="G27" s="40">
        <f t="shared" si="1"/>
        <v>1100</v>
      </c>
      <c r="H27" s="40">
        <f t="shared" si="0"/>
        <v>110</v>
      </c>
      <c r="I27"/>
      <c r="J27">
        <v>1800</v>
      </c>
      <c r="K27" s="32">
        <f t="shared" si="2"/>
        <v>180</v>
      </c>
      <c r="L27" s="40">
        <f t="shared" si="3"/>
        <v>1800</v>
      </c>
      <c r="M27" s="32">
        <f t="shared" si="2"/>
        <v>180</v>
      </c>
      <c r="O27">
        <v>780</v>
      </c>
      <c r="P27" s="40">
        <f t="shared" si="4"/>
        <v>78</v>
      </c>
      <c r="Q27" s="40">
        <f t="shared" si="5"/>
        <v>780</v>
      </c>
      <c r="R27" s="40">
        <f t="shared" si="4"/>
        <v>78</v>
      </c>
      <c r="T27">
        <v>240</v>
      </c>
      <c r="U27" s="40">
        <f t="shared" si="6"/>
        <v>24</v>
      </c>
      <c r="V27" s="40">
        <f t="shared" si="7"/>
        <v>240</v>
      </c>
      <c r="W27" s="40">
        <f t="shared" si="6"/>
        <v>24</v>
      </c>
      <c r="Y27">
        <v>280</v>
      </c>
      <c r="Z27" s="40">
        <f t="shared" si="8"/>
        <v>28</v>
      </c>
      <c r="AA27" s="40">
        <f t="shared" si="9"/>
        <v>280</v>
      </c>
      <c r="AB27" s="40">
        <f t="shared" si="8"/>
        <v>28</v>
      </c>
    </row>
    <row r="28" spans="1:28" ht="12.75">
      <c r="A28" s="27"/>
      <c r="B28" s="27" t="s">
        <v>39</v>
      </c>
      <c r="C28" s="29">
        <v>0.1</v>
      </c>
      <c r="E28">
        <v>960</v>
      </c>
      <c r="F28" s="40">
        <f t="shared" si="0"/>
        <v>96</v>
      </c>
      <c r="G28" s="40">
        <f t="shared" si="1"/>
        <v>960</v>
      </c>
      <c r="H28" s="40">
        <f t="shared" si="0"/>
        <v>96</v>
      </c>
      <c r="I28"/>
      <c r="J28">
        <v>1600</v>
      </c>
      <c r="K28" s="32">
        <f t="shared" si="2"/>
        <v>160</v>
      </c>
      <c r="L28" s="40">
        <f t="shared" si="3"/>
        <v>1600</v>
      </c>
      <c r="M28" s="32">
        <f t="shared" si="2"/>
        <v>160</v>
      </c>
      <c r="O28">
        <v>710</v>
      </c>
      <c r="P28" s="40">
        <f t="shared" si="4"/>
        <v>71</v>
      </c>
      <c r="Q28" s="40">
        <f t="shared" si="5"/>
        <v>710</v>
      </c>
      <c r="R28" s="40">
        <f t="shared" si="4"/>
        <v>71</v>
      </c>
      <c r="T28">
        <v>210</v>
      </c>
      <c r="U28" s="40">
        <f t="shared" si="6"/>
        <v>21</v>
      </c>
      <c r="V28" s="40">
        <f t="shared" si="7"/>
        <v>210</v>
      </c>
      <c r="W28" s="40">
        <f t="shared" si="6"/>
        <v>21</v>
      </c>
      <c r="Y28">
        <v>250</v>
      </c>
      <c r="Z28" s="40">
        <f t="shared" si="8"/>
        <v>25</v>
      </c>
      <c r="AA28" s="40">
        <f t="shared" si="9"/>
        <v>250</v>
      </c>
      <c r="AB28" s="40">
        <f t="shared" si="8"/>
        <v>25</v>
      </c>
    </row>
    <row r="29" spans="1:28" ht="12.75">
      <c r="A29" s="27"/>
      <c r="B29" s="27" t="s">
        <v>40</v>
      </c>
      <c r="C29" s="29">
        <v>0.1</v>
      </c>
      <c r="E29">
        <v>580</v>
      </c>
      <c r="F29" s="40">
        <f t="shared" si="0"/>
        <v>58</v>
      </c>
      <c r="G29" s="40">
        <f t="shared" si="1"/>
        <v>580</v>
      </c>
      <c r="H29" s="40">
        <f t="shared" si="0"/>
        <v>58</v>
      </c>
      <c r="I29"/>
      <c r="J29">
        <v>780</v>
      </c>
      <c r="K29" s="32">
        <f t="shared" si="2"/>
        <v>78</v>
      </c>
      <c r="L29" s="40">
        <f t="shared" si="3"/>
        <v>780</v>
      </c>
      <c r="M29" s="32">
        <f t="shared" si="2"/>
        <v>78</v>
      </c>
      <c r="O29">
        <v>560</v>
      </c>
      <c r="P29" s="40">
        <f t="shared" si="4"/>
        <v>56</v>
      </c>
      <c r="Q29" s="40">
        <f t="shared" si="5"/>
        <v>560</v>
      </c>
      <c r="R29" s="40">
        <f t="shared" si="4"/>
        <v>56</v>
      </c>
      <c r="T29">
        <v>150</v>
      </c>
      <c r="U29" s="40">
        <f t="shared" si="6"/>
        <v>15</v>
      </c>
      <c r="V29" s="40">
        <f t="shared" si="7"/>
        <v>150</v>
      </c>
      <c r="W29" s="40">
        <f t="shared" si="6"/>
        <v>15</v>
      </c>
      <c r="Y29">
        <v>180</v>
      </c>
      <c r="Z29" s="40">
        <f t="shared" si="8"/>
        <v>18</v>
      </c>
      <c r="AA29" s="40">
        <f t="shared" si="9"/>
        <v>180</v>
      </c>
      <c r="AB29" s="40">
        <f t="shared" si="8"/>
        <v>18</v>
      </c>
    </row>
    <row r="30" spans="1:28" ht="12.75">
      <c r="A30" s="27"/>
      <c r="B30" s="27" t="s">
        <v>41</v>
      </c>
      <c r="C30" s="29">
        <v>0.1</v>
      </c>
      <c r="E30">
        <v>100</v>
      </c>
      <c r="F30" s="40">
        <f t="shared" si="0"/>
        <v>10</v>
      </c>
      <c r="G30" s="40">
        <f t="shared" si="1"/>
        <v>100</v>
      </c>
      <c r="H30" s="40">
        <f t="shared" si="0"/>
        <v>10</v>
      </c>
      <c r="I30"/>
      <c r="J30">
        <v>170</v>
      </c>
      <c r="K30" s="32">
        <f t="shared" si="2"/>
        <v>17</v>
      </c>
      <c r="L30" s="40">
        <f t="shared" si="3"/>
        <v>170</v>
      </c>
      <c r="M30" s="32">
        <f t="shared" si="2"/>
        <v>17</v>
      </c>
      <c r="O30">
        <v>140</v>
      </c>
      <c r="P30" s="40">
        <f t="shared" si="4"/>
        <v>14</v>
      </c>
      <c r="Q30" s="40">
        <f t="shared" si="5"/>
        <v>140</v>
      </c>
      <c r="R30" s="40">
        <f t="shared" si="4"/>
        <v>14</v>
      </c>
      <c r="T30">
        <v>31</v>
      </c>
      <c r="U30" s="40">
        <f t="shared" si="6"/>
        <v>3.1</v>
      </c>
      <c r="V30" s="40">
        <f t="shared" si="7"/>
        <v>31</v>
      </c>
      <c r="W30" s="40">
        <f t="shared" si="6"/>
        <v>3.1</v>
      </c>
      <c r="Y30">
        <v>32</v>
      </c>
      <c r="Z30" s="40">
        <f t="shared" si="8"/>
        <v>3.2</v>
      </c>
      <c r="AA30" s="40">
        <f t="shared" si="9"/>
        <v>32</v>
      </c>
      <c r="AB30" s="40">
        <f t="shared" si="8"/>
        <v>3.2</v>
      </c>
    </row>
    <row r="31" spans="1:28" ht="12.75">
      <c r="A31" s="27"/>
      <c r="B31" s="27" t="s">
        <v>99</v>
      </c>
      <c r="C31" s="29">
        <v>0</v>
      </c>
      <c r="E31">
        <v>11000</v>
      </c>
      <c r="F31" s="40">
        <f t="shared" si="0"/>
        <v>0</v>
      </c>
      <c r="G31" s="40">
        <f t="shared" si="1"/>
        <v>11000</v>
      </c>
      <c r="H31" s="40">
        <f t="shared" si="0"/>
        <v>0</v>
      </c>
      <c r="I31"/>
      <c r="J31">
        <v>20000</v>
      </c>
      <c r="K31" s="32">
        <f t="shared" si="2"/>
        <v>0</v>
      </c>
      <c r="L31" s="40">
        <f t="shared" si="3"/>
        <v>20000</v>
      </c>
      <c r="M31" s="32">
        <f t="shared" si="2"/>
        <v>0</v>
      </c>
      <c r="O31">
        <v>8100</v>
      </c>
      <c r="P31" s="40">
        <f t="shared" si="4"/>
        <v>0</v>
      </c>
      <c r="Q31" s="40">
        <f t="shared" si="5"/>
        <v>8100</v>
      </c>
      <c r="R31" s="40">
        <f t="shared" si="4"/>
        <v>0</v>
      </c>
      <c r="T31">
        <v>2400</v>
      </c>
      <c r="U31" s="40">
        <f t="shared" si="6"/>
        <v>0</v>
      </c>
      <c r="V31" s="40">
        <f t="shared" si="7"/>
        <v>2400</v>
      </c>
      <c r="W31" s="40">
        <f t="shared" si="6"/>
        <v>0</v>
      </c>
      <c r="Y31">
        <v>2800</v>
      </c>
      <c r="Z31" s="40">
        <f t="shared" si="8"/>
        <v>0</v>
      </c>
      <c r="AA31" s="40">
        <f t="shared" si="9"/>
        <v>2800</v>
      </c>
      <c r="AB31" s="40">
        <f t="shared" si="8"/>
        <v>0</v>
      </c>
    </row>
    <row r="32" spans="1:28" ht="12.75">
      <c r="A32" s="27"/>
      <c r="B32" s="27" t="s">
        <v>42</v>
      </c>
      <c r="C32" s="29">
        <v>0.01</v>
      </c>
      <c r="E32">
        <v>1800</v>
      </c>
      <c r="F32" s="40">
        <f t="shared" si="0"/>
        <v>18</v>
      </c>
      <c r="G32" s="40">
        <f t="shared" si="1"/>
        <v>1800</v>
      </c>
      <c r="H32" s="40">
        <f t="shared" si="0"/>
        <v>18</v>
      </c>
      <c r="I32"/>
      <c r="J32">
        <v>4400</v>
      </c>
      <c r="K32" s="32">
        <f t="shared" si="2"/>
        <v>44</v>
      </c>
      <c r="L32" s="40">
        <f t="shared" si="3"/>
        <v>4400</v>
      </c>
      <c r="M32" s="32">
        <f t="shared" si="2"/>
        <v>44</v>
      </c>
      <c r="O32">
        <v>3000</v>
      </c>
      <c r="P32" s="40">
        <f t="shared" si="4"/>
        <v>30</v>
      </c>
      <c r="Q32" s="40">
        <f t="shared" si="5"/>
        <v>3000</v>
      </c>
      <c r="R32" s="40">
        <f t="shared" si="4"/>
        <v>30</v>
      </c>
      <c r="T32">
        <v>540</v>
      </c>
      <c r="U32" s="40">
        <f t="shared" si="6"/>
        <v>5.4</v>
      </c>
      <c r="V32" s="40">
        <f t="shared" si="7"/>
        <v>540</v>
      </c>
      <c r="W32" s="40">
        <f t="shared" si="6"/>
        <v>5.4</v>
      </c>
      <c r="Y32">
        <v>580</v>
      </c>
      <c r="Z32" s="40">
        <f t="shared" si="8"/>
        <v>5.8</v>
      </c>
      <c r="AA32" s="40">
        <f t="shared" si="9"/>
        <v>580</v>
      </c>
      <c r="AB32" s="40">
        <f t="shared" si="8"/>
        <v>5.8</v>
      </c>
    </row>
    <row r="33" spans="1:28" ht="12.75">
      <c r="A33" s="27"/>
      <c r="B33" s="27" t="s">
        <v>43</v>
      </c>
      <c r="C33" s="29">
        <v>0.01</v>
      </c>
      <c r="E33">
        <v>100</v>
      </c>
      <c r="F33" s="32">
        <f t="shared" si="0"/>
        <v>1</v>
      </c>
      <c r="G33" s="40">
        <f t="shared" si="1"/>
        <v>100</v>
      </c>
      <c r="H33" s="32">
        <f t="shared" si="0"/>
        <v>1</v>
      </c>
      <c r="I33"/>
      <c r="J33">
        <v>390</v>
      </c>
      <c r="K33" s="32">
        <f t="shared" si="2"/>
        <v>3.9</v>
      </c>
      <c r="L33" s="40">
        <f t="shared" si="3"/>
        <v>390</v>
      </c>
      <c r="M33" s="32">
        <f t="shared" si="2"/>
        <v>3.9</v>
      </c>
      <c r="O33">
        <v>370</v>
      </c>
      <c r="P33" s="40">
        <f t="shared" si="4"/>
        <v>3.7</v>
      </c>
      <c r="Q33" s="40">
        <f t="shared" si="5"/>
        <v>370</v>
      </c>
      <c r="R33" s="40">
        <f t="shared" si="4"/>
        <v>3.7</v>
      </c>
      <c r="T33">
        <v>44</v>
      </c>
      <c r="U33" s="40">
        <f t="shared" si="6"/>
        <v>0.44</v>
      </c>
      <c r="V33" s="40">
        <f t="shared" si="7"/>
        <v>44</v>
      </c>
      <c r="W33" s="40">
        <f t="shared" si="6"/>
        <v>0.44</v>
      </c>
      <c r="Y33">
        <v>39</v>
      </c>
      <c r="Z33" s="40">
        <f t="shared" si="8"/>
        <v>0.39</v>
      </c>
      <c r="AA33" s="40">
        <f t="shared" si="9"/>
        <v>39</v>
      </c>
      <c r="AB33" s="40">
        <f t="shared" si="8"/>
        <v>0.39</v>
      </c>
    </row>
    <row r="34" spans="1:28" ht="12.75">
      <c r="A34" s="27"/>
      <c r="B34" s="27" t="s">
        <v>100</v>
      </c>
      <c r="C34" s="29">
        <v>0</v>
      </c>
      <c r="E34">
        <v>2500</v>
      </c>
      <c r="F34" s="40">
        <f t="shared" si="0"/>
        <v>0</v>
      </c>
      <c r="G34" s="40">
        <f t="shared" si="1"/>
        <v>2500</v>
      </c>
      <c r="H34" s="40">
        <f t="shared" si="0"/>
        <v>0</v>
      </c>
      <c r="I34"/>
      <c r="J34">
        <v>6800</v>
      </c>
      <c r="K34" s="32">
        <f t="shared" si="2"/>
        <v>0</v>
      </c>
      <c r="L34" s="40">
        <f t="shared" si="3"/>
        <v>6800</v>
      </c>
      <c r="M34" s="32">
        <f t="shared" si="2"/>
        <v>0</v>
      </c>
      <c r="O34">
        <v>4800</v>
      </c>
      <c r="P34" s="40">
        <f t="shared" si="4"/>
        <v>0</v>
      </c>
      <c r="Q34" s="40">
        <f t="shared" si="5"/>
        <v>4800</v>
      </c>
      <c r="R34" s="40">
        <f t="shared" si="4"/>
        <v>0</v>
      </c>
      <c r="T34">
        <v>800</v>
      </c>
      <c r="U34" s="40">
        <f t="shared" si="6"/>
        <v>0</v>
      </c>
      <c r="V34" s="40">
        <f t="shared" si="7"/>
        <v>800</v>
      </c>
      <c r="W34" s="40">
        <f t="shared" si="6"/>
        <v>0</v>
      </c>
      <c r="Y34">
        <v>830</v>
      </c>
      <c r="Z34" s="40">
        <f t="shared" si="8"/>
        <v>0</v>
      </c>
      <c r="AA34" s="40">
        <f t="shared" si="9"/>
        <v>830</v>
      </c>
      <c r="AB34" s="40">
        <f t="shared" si="8"/>
        <v>0</v>
      </c>
    </row>
    <row r="35" spans="1:28" ht="12.75">
      <c r="A35" s="27"/>
      <c r="B35" s="27" t="s">
        <v>44</v>
      </c>
      <c r="C35" s="29">
        <v>0.001</v>
      </c>
      <c r="E35">
        <v>150</v>
      </c>
      <c r="F35" s="32">
        <f t="shared" si="0"/>
        <v>0.15</v>
      </c>
      <c r="G35" s="40">
        <f t="shared" si="1"/>
        <v>150</v>
      </c>
      <c r="H35" s="32">
        <f t="shared" si="0"/>
        <v>0.15</v>
      </c>
      <c r="I35"/>
      <c r="J35">
        <v>1400</v>
      </c>
      <c r="K35" s="32">
        <f t="shared" si="2"/>
        <v>1.4000000000000001</v>
      </c>
      <c r="L35" s="40">
        <f t="shared" si="3"/>
        <v>1400</v>
      </c>
      <c r="M35" s="32">
        <f t="shared" si="2"/>
        <v>1.4000000000000001</v>
      </c>
      <c r="O35">
        <v>1600</v>
      </c>
      <c r="P35" s="40">
        <f t="shared" si="4"/>
        <v>1.6</v>
      </c>
      <c r="Q35" s="40">
        <f t="shared" si="5"/>
        <v>1600</v>
      </c>
      <c r="R35" s="40">
        <f t="shared" si="4"/>
        <v>1.6</v>
      </c>
      <c r="T35">
        <v>96</v>
      </c>
      <c r="U35" s="40">
        <f t="shared" si="6"/>
        <v>0.096</v>
      </c>
      <c r="V35" s="40">
        <f t="shared" si="7"/>
        <v>96</v>
      </c>
      <c r="W35" s="40">
        <f t="shared" si="6"/>
        <v>0.096</v>
      </c>
      <c r="Y35">
        <v>97</v>
      </c>
      <c r="Z35" s="40">
        <f t="shared" si="8"/>
        <v>0.097</v>
      </c>
      <c r="AA35" s="40">
        <f t="shared" si="9"/>
        <v>97</v>
      </c>
      <c r="AB35" s="40">
        <f t="shared" si="8"/>
        <v>0.097</v>
      </c>
    </row>
    <row r="36" spans="1:28" ht="12.75">
      <c r="A36" s="27"/>
      <c r="B36" s="27"/>
      <c r="C36" s="27"/>
      <c r="D36" s="27"/>
      <c r="E36" s="32"/>
      <c r="F36" s="35"/>
      <c r="G36" s="32"/>
      <c r="H36" s="35"/>
      <c r="I36" s="51"/>
      <c r="J36" s="12"/>
      <c r="K36" s="30"/>
      <c r="L36" s="30"/>
      <c r="M36" s="30"/>
      <c r="N36" s="32"/>
      <c r="O36" s="12"/>
      <c r="P36" s="34"/>
      <c r="Q36" s="32"/>
      <c r="R36" s="34"/>
      <c r="S36" s="32"/>
      <c r="T36" s="12"/>
      <c r="U36" s="34"/>
      <c r="V36" s="32"/>
      <c r="W36" s="34"/>
      <c r="X36" s="32"/>
      <c r="Y36" s="12"/>
      <c r="Z36" s="34"/>
      <c r="AA36" s="32"/>
      <c r="AB36" s="34"/>
    </row>
    <row r="37" spans="1:28" ht="12.75">
      <c r="A37" s="27"/>
      <c r="B37" s="27" t="s">
        <v>45</v>
      </c>
      <c r="C37" s="27"/>
      <c r="D37" s="27"/>
      <c r="E37" s="32"/>
      <c r="F37">
        <f>H37</f>
        <v>176.291</v>
      </c>
      <c r="G37">
        <v>176.291</v>
      </c>
      <c r="H37">
        <f>G37</f>
        <v>176.291</v>
      </c>
      <c r="I37"/>
      <c r="K37">
        <f>M37</f>
        <v>183.437</v>
      </c>
      <c r="L37">
        <v>183.437</v>
      </c>
      <c r="M37">
        <f>L37</f>
        <v>183.437</v>
      </c>
      <c r="P37">
        <f>R37</f>
        <v>184.9</v>
      </c>
      <c r="Q37">
        <v>184.9</v>
      </c>
      <c r="R37">
        <f>Q37</f>
        <v>184.9</v>
      </c>
      <c r="S37" s="32"/>
      <c r="U37">
        <f>W37</f>
        <v>179.753</v>
      </c>
      <c r="V37">
        <v>179.753</v>
      </c>
      <c r="W37" s="81">
        <f>V37</f>
        <v>179.753</v>
      </c>
      <c r="X37" s="32"/>
      <c r="Z37">
        <f>AB37</f>
        <v>191.311</v>
      </c>
      <c r="AA37">
        <v>191.311</v>
      </c>
      <c r="AB37" s="81">
        <f>AA37</f>
        <v>191.311</v>
      </c>
    </row>
    <row r="38" spans="1:28" ht="12.75">
      <c r="A38" s="27"/>
      <c r="B38" s="27" t="s">
        <v>60</v>
      </c>
      <c r="C38" s="27"/>
      <c r="D38" s="27"/>
      <c r="E38" s="32"/>
      <c r="F38">
        <f>H38</f>
        <v>14</v>
      </c>
      <c r="G38">
        <v>14</v>
      </c>
      <c r="H38">
        <f>G38</f>
        <v>14</v>
      </c>
      <c r="I38"/>
      <c r="K38">
        <f>M38</f>
        <v>14.4</v>
      </c>
      <c r="L38">
        <v>14.4</v>
      </c>
      <c r="M38">
        <f>L38</f>
        <v>14.4</v>
      </c>
      <c r="P38">
        <f>R38</f>
        <v>14.1</v>
      </c>
      <c r="Q38">
        <v>14.1</v>
      </c>
      <c r="R38">
        <f>Q38</f>
        <v>14.1</v>
      </c>
      <c r="S38" s="32"/>
      <c r="U38">
        <f>W38</f>
        <v>14</v>
      </c>
      <c r="V38">
        <v>14</v>
      </c>
      <c r="W38">
        <f>V38</f>
        <v>14</v>
      </c>
      <c r="X38" s="32"/>
      <c r="Z38">
        <f>AB38</f>
        <v>14.2</v>
      </c>
      <c r="AA38">
        <v>14.2</v>
      </c>
      <c r="AB38">
        <f>AA38</f>
        <v>14.2</v>
      </c>
    </row>
    <row r="39" spans="1:28" ht="12.75">
      <c r="A39" s="27"/>
      <c r="B39" s="27"/>
      <c r="C39" s="27"/>
      <c r="D39" s="27"/>
      <c r="E39" s="32"/>
      <c r="F39" s="12"/>
      <c r="G39" s="32"/>
      <c r="H39" s="12"/>
      <c r="I39" s="45"/>
      <c r="J39" s="32"/>
      <c r="K39" s="33"/>
      <c r="L39" s="30"/>
      <c r="M39" s="33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</row>
    <row r="40" spans="1:28" ht="12.75">
      <c r="A40" s="27"/>
      <c r="B40" s="27" t="s">
        <v>101</v>
      </c>
      <c r="C40" s="35"/>
      <c r="D40" s="35"/>
      <c r="E40" s="30"/>
      <c r="F40" s="31">
        <f>SUM(F11:F35)/1000</f>
        <v>0.89678</v>
      </c>
      <c r="G40" s="30">
        <f>SUM(G35,G34,G31,G26,G23,G21,G20,G18,G14,G12)/1000</f>
        <v>75.42</v>
      </c>
      <c r="H40" s="31">
        <f>SUM(H11:H35)/1000</f>
        <v>0.89678</v>
      </c>
      <c r="I40" s="37"/>
      <c r="J40" s="30"/>
      <c r="K40" s="31">
        <f>SUM(K11:K35)/1000</f>
        <v>1.04946</v>
      </c>
      <c r="L40" s="30">
        <f>SUM(L35,L34,L31,L26,L23,L21,L20,L18,L14,L12)/1000</f>
        <v>87.64</v>
      </c>
      <c r="M40" s="31">
        <f>SUM(M11:M35)/1000</f>
        <v>1.04946</v>
      </c>
      <c r="N40" s="35"/>
      <c r="O40" s="32"/>
      <c r="P40" s="32">
        <f>SUM(P11:P35)/1000</f>
        <v>0.5945600000000001</v>
      </c>
      <c r="Q40" s="30">
        <f>SUM(Q35,Q34,Q31,Q26,Q23,Q21,Q20,Q18,Q14,Q12)/1000</f>
        <v>40.05</v>
      </c>
      <c r="R40" s="32">
        <f>SUM(R11:R35)/1000</f>
        <v>0.5945600000000001</v>
      </c>
      <c r="S40" s="35"/>
      <c r="T40" s="32"/>
      <c r="U40" s="32">
        <f>SUM(U11:U35)/1000</f>
        <v>0.226736</v>
      </c>
      <c r="V40" s="30">
        <f>SUM(V35,V34,V31,V26,V23,V21,V20,V18,V14,V12)/1000</f>
        <v>15.766</v>
      </c>
      <c r="W40" s="32">
        <f>SUM(W11:W35)/1000</f>
        <v>0.226736</v>
      </c>
      <c r="X40" s="35"/>
      <c r="Y40" s="32"/>
      <c r="Z40" s="32">
        <f>SUM(Z11:Z35)/1000</f>
        <v>0.26631299999999997</v>
      </c>
      <c r="AA40" s="30">
        <f>SUM(AA35,AA34,AA31,AA26,AA23,AA21,AA20,AA18,AA14,AA12)/1000</f>
        <v>19.453</v>
      </c>
      <c r="AB40" s="32">
        <f>SUM(AB11:AB35)/1000</f>
        <v>0.26631299999999997</v>
      </c>
    </row>
    <row r="41" spans="1:28" ht="12.75">
      <c r="A41" s="27"/>
      <c r="B41" s="27" t="s">
        <v>46</v>
      </c>
      <c r="C41" s="35"/>
      <c r="D41" s="30">
        <f>(F41-H41)*2/F41*100</f>
        <v>0</v>
      </c>
      <c r="E41" s="32"/>
      <c r="F41" s="35">
        <f>(F40/F37/0.0283*(21-7)/(21-F38))</f>
        <v>0.3595003627254351</v>
      </c>
      <c r="G41" s="31">
        <f>(G40/G37/0.0283*(21-7)/(21-G38))</f>
        <v>30.234302010250364</v>
      </c>
      <c r="H41" s="35">
        <f>(H40/H37/0.0283*(21-7)/(21-H38))</f>
        <v>0.3595003627254351</v>
      </c>
      <c r="I41" s="30">
        <f>(K41-M41)*2/K41*100</f>
        <v>0</v>
      </c>
      <c r="J41" s="32"/>
      <c r="K41" s="35">
        <f>K40/K37/0.0283*(21-7)/(21-K38)</f>
        <v>0.4288215631839234</v>
      </c>
      <c r="L41" s="32">
        <f>(L40/L37/0.0283*(21-7)/(21-L38))</f>
        <v>35.81072341722319</v>
      </c>
      <c r="M41" s="35">
        <f>M40/M37/0.0283*(21-7)/(21-M38)</f>
        <v>0.4288215631839234</v>
      </c>
      <c r="N41" s="30">
        <f>(P41-R41)*2/P41*100</f>
        <v>0</v>
      </c>
      <c r="O41" s="32"/>
      <c r="P41" s="35">
        <f>P40/P37/0.0283*(21-7)/(21-P38)</f>
        <v>0.23054265283085043</v>
      </c>
      <c r="Q41" s="32">
        <f>(Q40/Q37/0.0283*(21-7)/(21-Q38))</f>
        <v>15.529523085770242</v>
      </c>
      <c r="R41" s="35">
        <f>R40/R37/0.0283*(21-7)/(21-R38)</f>
        <v>0.23054265283085043</v>
      </c>
      <c r="S41" s="30">
        <f>(U41-W41)*2/U41*100</f>
        <v>0</v>
      </c>
      <c r="T41" s="32"/>
      <c r="U41" s="32">
        <f>U40/U37/0.0283*(21-7)/(21-U38)</f>
        <v>0.08914313298269776</v>
      </c>
      <c r="V41" s="32">
        <f>(V40/V37/0.0283*(21-7)/(21-V38))</f>
        <v>6.198533248382317</v>
      </c>
      <c r="W41" s="32">
        <f>W40/W37/0.0283*(21-7)/(21-W38)</f>
        <v>0.08914313298269776</v>
      </c>
      <c r="X41" s="30">
        <f>(Z41-AB41)*2/Z41*100</f>
        <v>0</v>
      </c>
      <c r="Y41" s="32"/>
      <c r="Z41" s="32">
        <f>Z40/Z37/0.0283*(21-7)/(21-Z38)</f>
        <v>0.10127100329434825</v>
      </c>
      <c r="AA41" s="32">
        <f>(AA40/AA37/0.0283*(21-7)/(21-AA38))</f>
        <v>7.3974039085022385</v>
      </c>
      <c r="AB41" s="32">
        <f>AB40/AB37/0.0283*(21-7)/(21-AB38)</f>
        <v>0.10127100329434825</v>
      </c>
    </row>
    <row r="42" spans="1:24" ht="12.75">
      <c r="A42" s="27"/>
      <c r="B42" s="27"/>
      <c r="C42" s="27"/>
      <c r="D42" s="27"/>
      <c r="E42" s="31"/>
      <c r="F42" s="35"/>
      <c r="G42" s="31"/>
      <c r="H42" s="35"/>
      <c r="I42" s="52"/>
      <c r="J42" s="31"/>
      <c r="K42" s="31"/>
      <c r="L42" s="31"/>
      <c r="M42" s="31"/>
      <c r="N42" s="31"/>
      <c r="O42" s="31"/>
      <c r="P42" s="34"/>
      <c r="Q42" s="31"/>
      <c r="R42" s="34"/>
      <c r="S42" s="31"/>
      <c r="T42" s="31"/>
      <c r="U42" s="34"/>
      <c r="V42" s="31"/>
      <c r="W42" s="34"/>
      <c r="X42" s="31"/>
    </row>
    <row r="43" spans="1:24" ht="12.75">
      <c r="A43" s="32"/>
      <c r="B43" s="27" t="s">
        <v>61</v>
      </c>
      <c r="C43" s="35">
        <f>AVERAGE(H41,M41,R41,W41,AB41)</f>
        <v>0.241855743003451</v>
      </c>
      <c r="D43" s="32"/>
      <c r="E43" s="32"/>
      <c r="F43" s="35"/>
      <c r="G43" s="32"/>
      <c r="H43" s="35"/>
      <c r="I43" s="51"/>
      <c r="J43" s="32"/>
      <c r="K43" s="32"/>
      <c r="L43" s="32"/>
      <c r="M43" s="32"/>
      <c r="N43" s="32"/>
      <c r="O43" s="32"/>
      <c r="P43" s="34"/>
      <c r="Q43" s="32"/>
      <c r="R43" s="34"/>
      <c r="S43" s="32"/>
      <c r="T43" s="32"/>
      <c r="U43" s="34"/>
      <c r="V43" s="32"/>
      <c r="W43" s="34"/>
      <c r="X43" s="32"/>
    </row>
    <row r="44" spans="1:24" ht="12.75">
      <c r="A44" s="27"/>
      <c r="B44" s="27" t="s">
        <v>62</v>
      </c>
      <c r="C44" s="35">
        <f>AVERAGE(G41,L41,Q41,V41,AA41)</f>
        <v>19.034097134025668</v>
      </c>
      <c r="D44" s="27"/>
      <c r="E44" s="34"/>
      <c r="F44" s="35"/>
      <c r="G44" s="34"/>
      <c r="H44" s="35"/>
      <c r="I44" s="38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</row>
  </sheetData>
  <printOptions headings="1" horizontalCentered="1"/>
  <pageMargins left="0.25" right="0.25" top="0.5" bottom="0.5" header="0.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B44"/>
  <sheetViews>
    <sheetView workbookViewId="0" topLeftCell="A1">
      <pane ySplit="1725" topLeftCell="BM1" activePane="bottomLeft" state="split"/>
      <selection pane="topLeft" activeCell="B2" sqref="B2"/>
      <selection pane="bottomLeft" activeCell="B2" sqref="B2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11.28125" style="0" customWidth="1"/>
    <col min="4" max="4" width="3.00390625" style="0" customWidth="1"/>
    <col min="5" max="5" width="9.421875" style="0" customWidth="1"/>
    <col min="6" max="6" width="9.8515625" style="0" customWidth="1"/>
    <col min="8" max="8" width="9.8515625" style="0" customWidth="1"/>
    <col min="9" max="9" width="3.421875" style="50" customWidth="1"/>
    <col min="11" max="11" width="9.28125" style="0" customWidth="1"/>
    <col min="13" max="13" width="9.28125" style="0" customWidth="1"/>
    <col min="14" max="14" width="4.140625" style="0" customWidth="1"/>
    <col min="16" max="16" width="9.00390625" style="0" customWidth="1"/>
    <col min="18" max="18" width="9.00390625" style="0" customWidth="1"/>
    <col min="19" max="19" width="4.00390625" style="0" customWidth="1"/>
    <col min="21" max="21" width="9.00390625" style="0" customWidth="1"/>
    <col min="23" max="23" width="9.00390625" style="0" customWidth="1"/>
    <col min="24" max="24" width="4.140625" style="0" customWidth="1"/>
  </cols>
  <sheetData>
    <row r="1" spans="1:24" ht="12.75">
      <c r="A1" s="41" t="s">
        <v>72</v>
      </c>
      <c r="B1" s="27"/>
      <c r="C1" s="27"/>
      <c r="D1" s="27"/>
      <c r="E1" s="34"/>
      <c r="F1" s="35"/>
      <c r="G1" s="34"/>
      <c r="H1" s="35"/>
      <c r="I1" s="38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ht="12.75">
      <c r="A2" s="27" t="s">
        <v>479</v>
      </c>
      <c r="B2" s="27"/>
      <c r="C2" s="27"/>
      <c r="D2" s="27"/>
      <c r="E2" s="34"/>
      <c r="F2" s="35"/>
      <c r="G2" s="34"/>
      <c r="H2" s="35"/>
      <c r="I2" s="38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ht="12.75">
      <c r="A3" s="27" t="s">
        <v>20</v>
      </c>
      <c r="B3" s="27"/>
      <c r="C3" s="9" t="s">
        <v>129</v>
      </c>
      <c r="D3" s="9"/>
      <c r="E3" s="34"/>
      <c r="F3" s="35"/>
      <c r="G3" s="34"/>
      <c r="H3" s="35"/>
      <c r="I3" s="38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2.75">
      <c r="A4" s="27" t="s">
        <v>21</v>
      </c>
      <c r="B4" s="27"/>
      <c r="C4" s="9" t="s">
        <v>188</v>
      </c>
      <c r="D4" s="9"/>
      <c r="E4" s="36"/>
      <c r="F4" s="37"/>
      <c r="G4" s="36"/>
      <c r="H4" s="37"/>
      <c r="I4" s="38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</row>
    <row r="5" spans="1:24" ht="12.75">
      <c r="A5" s="27" t="s">
        <v>22</v>
      </c>
      <c r="B5" s="27"/>
      <c r="C5" s="12" t="s">
        <v>189</v>
      </c>
      <c r="D5" s="12"/>
      <c r="E5" s="12"/>
      <c r="F5" s="12"/>
      <c r="G5" s="12"/>
      <c r="H5" s="12"/>
      <c r="I5" s="45"/>
      <c r="J5" s="12"/>
      <c r="K5" s="34"/>
      <c r="L5" s="12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</row>
    <row r="6" spans="1:24" ht="12.75">
      <c r="A6" s="27"/>
      <c r="B6" s="27"/>
      <c r="C6" s="29"/>
      <c r="D6" s="29"/>
      <c r="E6" s="38"/>
      <c r="F6" s="35"/>
      <c r="G6" s="38"/>
      <c r="H6" s="35"/>
      <c r="I6" s="38"/>
      <c r="J6" s="38"/>
      <c r="K6" s="34"/>
      <c r="L6" s="38"/>
      <c r="M6" s="34"/>
      <c r="N6" s="34"/>
      <c r="O6" s="38"/>
      <c r="P6" s="34"/>
      <c r="Q6" s="38"/>
      <c r="R6" s="34"/>
      <c r="S6" s="34"/>
      <c r="T6" s="38"/>
      <c r="U6" s="34"/>
      <c r="V6" s="38"/>
      <c r="W6" s="34"/>
      <c r="X6" s="34"/>
    </row>
    <row r="7" spans="1:28" s="88" customFormat="1" ht="12.75">
      <c r="A7" s="27"/>
      <c r="B7" s="27"/>
      <c r="C7" s="29" t="s">
        <v>23</v>
      </c>
      <c r="D7" s="29"/>
      <c r="E7" s="39" t="s">
        <v>54</v>
      </c>
      <c r="F7" s="39"/>
      <c r="G7" s="39"/>
      <c r="H7" s="39"/>
      <c r="I7" s="11"/>
      <c r="J7" s="39" t="s">
        <v>109</v>
      </c>
      <c r="K7" s="39"/>
      <c r="L7" s="39"/>
      <c r="M7" s="39"/>
      <c r="N7" s="11"/>
      <c r="O7" s="39" t="s">
        <v>55</v>
      </c>
      <c r="P7" s="39"/>
      <c r="Q7" s="39"/>
      <c r="R7" s="39"/>
      <c r="S7" s="11"/>
      <c r="T7" s="39" t="s">
        <v>164</v>
      </c>
      <c r="U7" s="39"/>
      <c r="V7" s="39"/>
      <c r="W7" s="39"/>
      <c r="X7" s="11"/>
      <c r="Y7" s="39" t="s">
        <v>165</v>
      </c>
      <c r="Z7" s="39"/>
      <c r="AA7" s="39"/>
      <c r="AB7" s="39"/>
    </row>
    <row r="8" spans="1:28" s="88" customFormat="1" ht="12.75">
      <c r="A8" s="27"/>
      <c r="B8" s="27"/>
      <c r="C8" s="29" t="s">
        <v>24</v>
      </c>
      <c r="D8" s="27"/>
      <c r="E8" s="38" t="s">
        <v>25</v>
      </c>
      <c r="F8" s="37" t="s">
        <v>26</v>
      </c>
      <c r="G8" s="38" t="s">
        <v>25</v>
      </c>
      <c r="H8" s="37" t="s">
        <v>26</v>
      </c>
      <c r="I8" s="38"/>
      <c r="J8" s="38" t="s">
        <v>25</v>
      </c>
      <c r="K8" s="38" t="s">
        <v>27</v>
      </c>
      <c r="L8" s="38" t="s">
        <v>25</v>
      </c>
      <c r="M8" s="38" t="s">
        <v>27</v>
      </c>
      <c r="N8" s="34"/>
      <c r="O8" s="38" t="s">
        <v>25</v>
      </c>
      <c r="P8" s="38" t="s">
        <v>27</v>
      </c>
      <c r="Q8" s="38" t="s">
        <v>25</v>
      </c>
      <c r="R8" s="38" t="s">
        <v>27</v>
      </c>
      <c r="S8" s="34"/>
      <c r="T8" s="38" t="s">
        <v>25</v>
      </c>
      <c r="U8" s="38" t="s">
        <v>27</v>
      </c>
      <c r="V8" s="38" t="s">
        <v>25</v>
      </c>
      <c r="W8" s="38" t="s">
        <v>27</v>
      </c>
      <c r="X8" s="34"/>
      <c r="Y8" s="38" t="s">
        <v>25</v>
      </c>
      <c r="Z8" s="38" t="s">
        <v>27</v>
      </c>
      <c r="AA8" s="38" t="s">
        <v>25</v>
      </c>
      <c r="AB8" s="38" t="s">
        <v>27</v>
      </c>
    </row>
    <row r="9" spans="1:28" s="88" customFormat="1" ht="12.75">
      <c r="A9" s="27"/>
      <c r="B9" s="27"/>
      <c r="C9" s="29"/>
      <c r="D9" s="27"/>
      <c r="E9" s="38" t="s">
        <v>343</v>
      </c>
      <c r="F9" s="38" t="s">
        <v>343</v>
      </c>
      <c r="G9" s="38" t="s">
        <v>71</v>
      </c>
      <c r="H9" s="37" t="s">
        <v>71</v>
      </c>
      <c r="I9" s="38"/>
      <c r="J9" s="38" t="s">
        <v>343</v>
      </c>
      <c r="K9" s="38" t="s">
        <v>343</v>
      </c>
      <c r="L9" s="38" t="s">
        <v>71</v>
      </c>
      <c r="M9" s="37" t="s">
        <v>71</v>
      </c>
      <c r="N9" s="34"/>
      <c r="O9" s="38" t="s">
        <v>343</v>
      </c>
      <c r="P9" s="38" t="s">
        <v>343</v>
      </c>
      <c r="Q9" s="38" t="s">
        <v>71</v>
      </c>
      <c r="R9" s="37" t="s">
        <v>71</v>
      </c>
      <c r="S9" s="34"/>
      <c r="T9" s="38" t="s">
        <v>343</v>
      </c>
      <c r="U9" s="38" t="s">
        <v>343</v>
      </c>
      <c r="V9" s="38" t="s">
        <v>71</v>
      </c>
      <c r="W9" s="37" t="s">
        <v>71</v>
      </c>
      <c r="X9" s="34"/>
      <c r="Y9" s="38" t="s">
        <v>343</v>
      </c>
      <c r="Z9" s="38" t="s">
        <v>343</v>
      </c>
      <c r="AA9" s="38" t="s">
        <v>71</v>
      </c>
      <c r="AB9" s="37" t="s">
        <v>71</v>
      </c>
    </row>
    <row r="10" spans="1:28" ht="12.75">
      <c r="A10" s="27" t="s">
        <v>103</v>
      </c>
      <c r="B10" s="27"/>
      <c r="C10" s="27"/>
      <c r="D10" s="27"/>
      <c r="E10" s="34"/>
      <c r="F10" s="35"/>
      <c r="G10" s="34"/>
      <c r="H10" s="35"/>
      <c r="I10" s="38"/>
      <c r="J10" s="34"/>
      <c r="K10" s="34"/>
      <c r="L10" s="34"/>
      <c r="M10" s="34"/>
      <c r="N10" s="34"/>
      <c r="O10" s="30"/>
      <c r="P10" s="34"/>
      <c r="Q10" s="34"/>
      <c r="R10" s="34"/>
      <c r="S10" s="34"/>
      <c r="T10" s="30"/>
      <c r="U10" s="34"/>
      <c r="V10" s="34"/>
      <c r="W10" s="34"/>
      <c r="X10" s="34"/>
      <c r="Y10" s="30"/>
      <c r="Z10" s="34"/>
      <c r="AA10" s="34"/>
      <c r="AB10" s="34"/>
    </row>
    <row r="11" spans="1:28" ht="12.75">
      <c r="A11" s="27"/>
      <c r="B11" s="27" t="s">
        <v>28</v>
      </c>
      <c r="C11" s="29">
        <v>1</v>
      </c>
      <c r="F11" s="32">
        <f aca="true" t="shared" si="0" ref="F11:H35">IF(E11="","",E11*$C11)</f>
      </c>
      <c r="G11" s="32">
        <f aca="true" t="shared" si="1" ref="G11:G35">IF(E11=0,"",IF(D11="nd",E11/2,E11))</f>
      </c>
      <c r="H11" s="32">
        <f t="shared" si="0"/>
      </c>
      <c r="I11" t="s">
        <v>102</v>
      </c>
      <c r="J11" s="34">
        <v>5.6</v>
      </c>
      <c r="K11" s="32">
        <f aca="true" t="shared" si="2" ref="K11:M35">IF(J11="","",J11*$C11)</f>
        <v>5.6</v>
      </c>
      <c r="L11" s="32">
        <f aca="true" t="shared" si="3" ref="L11:L35">IF(J11=0,"",IF(I11="nd",J11/2,J11))</f>
        <v>2.8</v>
      </c>
      <c r="M11" s="32">
        <f t="shared" si="2"/>
        <v>2.8</v>
      </c>
      <c r="N11" t="s">
        <v>102</v>
      </c>
      <c r="O11" s="34">
        <v>4.2</v>
      </c>
      <c r="P11" s="40">
        <f aca="true" t="shared" si="4" ref="P11:R35">IF(O11="","",O11*$C11)</f>
        <v>4.2</v>
      </c>
      <c r="Q11" s="40">
        <f aca="true" t="shared" si="5" ref="Q11:Q35">IF(O11=0,"",IF(N11="nd",O11/2,O11))</f>
        <v>2.1</v>
      </c>
      <c r="R11" s="40">
        <f t="shared" si="4"/>
        <v>2.1</v>
      </c>
      <c r="S11" t="s">
        <v>102</v>
      </c>
      <c r="T11">
        <v>6.7</v>
      </c>
      <c r="U11" s="40">
        <f aca="true" t="shared" si="6" ref="U11:W35">IF(T11="","",T11*$C11)</f>
        <v>6.7</v>
      </c>
      <c r="V11" s="40">
        <f aca="true" t="shared" si="7" ref="V11:V35">IF(T11=0,"",IF(S11="nd",T11/2,T11))</f>
        <v>3.35</v>
      </c>
      <c r="W11" s="40">
        <f t="shared" si="6"/>
        <v>3.35</v>
      </c>
      <c r="X11" t="s">
        <v>102</v>
      </c>
      <c r="Y11">
        <v>7</v>
      </c>
      <c r="Z11" s="40">
        <f aca="true" t="shared" si="8" ref="Z11:AB35">IF(Y11="","",Y11*$C11)</f>
        <v>7</v>
      </c>
      <c r="AA11" s="40">
        <f aca="true" t="shared" si="9" ref="AA11:AA35">IF(Y11=0,"",IF(X11="nd",Y11/2,Y11))</f>
        <v>3.5</v>
      </c>
      <c r="AB11" s="40">
        <f t="shared" si="8"/>
        <v>3.5</v>
      </c>
    </row>
    <row r="12" spans="1:28" ht="12.75">
      <c r="A12" s="27"/>
      <c r="B12" s="27" t="s">
        <v>93</v>
      </c>
      <c r="C12" s="29">
        <v>0</v>
      </c>
      <c r="F12" s="40">
        <f t="shared" si="0"/>
      </c>
      <c r="G12" s="40">
        <f t="shared" si="1"/>
      </c>
      <c r="H12" s="40">
        <f t="shared" si="0"/>
      </c>
      <c r="I12"/>
      <c r="J12">
        <v>70</v>
      </c>
      <c r="K12" s="32">
        <f t="shared" si="2"/>
        <v>0</v>
      </c>
      <c r="L12" s="40">
        <f t="shared" si="3"/>
        <v>70</v>
      </c>
      <c r="M12" s="32">
        <f t="shared" si="2"/>
        <v>0</v>
      </c>
      <c r="O12">
        <v>41</v>
      </c>
      <c r="P12" s="40">
        <f t="shared" si="4"/>
        <v>0</v>
      </c>
      <c r="Q12" s="40">
        <f t="shared" si="5"/>
        <v>41</v>
      </c>
      <c r="R12" s="40">
        <f t="shared" si="4"/>
        <v>0</v>
      </c>
      <c r="T12">
        <v>44</v>
      </c>
      <c r="U12" s="40">
        <f t="shared" si="6"/>
        <v>0</v>
      </c>
      <c r="V12" s="40">
        <f t="shared" si="7"/>
        <v>44</v>
      </c>
      <c r="W12" s="40">
        <f t="shared" si="6"/>
        <v>0</v>
      </c>
      <c r="Y12">
        <v>130</v>
      </c>
      <c r="Z12" s="40">
        <f t="shared" si="8"/>
        <v>0</v>
      </c>
      <c r="AA12" s="40">
        <f t="shared" si="9"/>
        <v>130</v>
      </c>
      <c r="AB12" s="40">
        <f t="shared" si="8"/>
        <v>0</v>
      </c>
    </row>
    <row r="13" spans="1:28" ht="12.75">
      <c r="A13" s="27"/>
      <c r="B13" s="27" t="s">
        <v>29</v>
      </c>
      <c r="C13" s="29">
        <v>0.5</v>
      </c>
      <c r="F13" s="32">
        <f t="shared" si="0"/>
      </c>
      <c r="G13" s="32">
        <f t="shared" si="1"/>
      </c>
      <c r="H13" s="32">
        <f t="shared" si="0"/>
      </c>
      <c r="I13"/>
      <c r="J13">
        <v>18</v>
      </c>
      <c r="K13" s="32">
        <f t="shared" si="2"/>
        <v>9</v>
      </c>
      <c r="L13" s="32">
        <f t="shared" si="3"/>
        <v>18</v>
      </c>
      <c r="M13" s="32">
        <f t="shared" si="2"/>
        <v>9</v>
      </c>
      <c r="O13">
        <v>9.5</v>
      </c>
      <c r="P13" s="40">
        <f t="shared" si="4"/>
        <v>4.75</v>
      </c>
      <c r="Q13" s="40">
        <f t="shared" si="5"/>
        <v>9.5</v>
      </c>
      <c r="R13" s="40">
        <f t="shared" si="4"/>
        <v>4.75</v>
      </c>
      <c r="T13">
        <v>8.8</v>
      </c>
      <c r="U13" s="40">
        <f t="shared" si="6"/>
        <v>4.4</v>
      </c>
      <c r="V13" s="40">
        <f t="shared" si="7"/>
        <v>8.8</v>
      </c>
      <c r="W13" s="40">
        <f t="shared" si="6"/>
        <v>4.4</v>
      </c>
      <c r="Y13">
        <v>9.6</v>
      </c>
      <c r="Z13" s="40">
        <f t="shared" si="8"/>
        <v>4.8</v>
      </c>
      <c r="AA13" s="40">
        <f t="shared" si="9"/>
        <v>9.6</v>
      </c>
      <c r="AB13" s="40">
        <f t="shared" si="8"/>
        <v>4.8</v>
      </c>
    </row>
    <row r="14" spans="1:28" ht="12.75">
      <c r="A14" s="27"/>
      <c r="B14" s="27" t="s">
        <v>94</v>
      </c>
      <c r="C14" s="29">
        <v>0</v>
      </c>
      <c r="F14" s="40">
        <f t="shared" si="0"/>
      </c>
      <c r="G14" s="40">
        <f t="shared" si="1"/>
      </c>
      <c r="H14" s="40">
        <f t="shared" si="0"/>
      </c>
      <c r="I14"/>
      <c r="J14">
        <v>190</v>
      </c>
      <c r="K14" s="32">
        <f t="shared" si="2"/>
        <v>0</v>
      </c>
      <c r="L14" s="40">
        <f t="shared" si="3"/>
        <v>190</v>
      </c>
      <c r="M14" s="32">
        <f t="shared" si="2"/>
        <v>0</v>
      </c>
      <c r="O14">
        <v>92</v>
      </c>
      <c r="P14" s="40">
        <f t="shared" si="4"/>
        <v>0</v>
      </c>
      <c r="Q14" s="40">
        <f t="shared" si="5"/>
        <v>92</v>
      </c>
      <c r="R14" s="40">
        <f t="shared" si="4"/>
        <v>0</v>
      </c>
      <c r="T14">
        <v>120</v>
      </c>
      <c r="U14" s="40">
        <f t="shared" si="6"/>
        <v>0</v>
      </c>
      <c r="V14" s="40">
        <f t="shared" si="7"/>
        <v>120</v>
      </c>
      <c r="W14" s="40">
        <f t="shared" si="6"/>
        <v>0</v>
      </c>
      <c r="Y14">
        <v>130</v>
      </c>
      <c r="Z14" s="40">
        <f t="shared" si="8"/>
        <v>0</v>
      </c>
      <c r="AA14" s="40">
        <f t="shared" si="9"/>
        <v>130</v>
      </c>
      <c r="AB14" s="40">
        <f t="shared" si="8"/>
        <v>0</v>
      </c>
    </row>
    <row r="15" spans="1:28" ht="12.75">
      <c r="A15" s="27"/>
      <c r="B15" s="27" t="s">
        <v>30</v>
      </c>
      <c r="C15" s="29">
        <v>0.1</v>
      </c>
      <c r="F15" s="32">
        <f t="shared" si="0"/>
      </c>
      <c r="G15" s="32">
        <f t="shared" si="1"/>
      </c>
      <c r="H15" s="32">
        <f t="shared" si="0"/>
      </c>
      <c r="I15"/>
      <c r="J15">
        <v>17</v>
      </c>
      <c r="K15" s="32">
        <f t="shared" si="2"/>
        <v>1.7000000000000002</v>
      </c>
      <c r="L15" s="32">
        <f t="shared" si="3"/>
        <v>17</v>
      </c>
      <c r="M15" s="32">
        <f t="shared" si="2"/>
        <v>1.7000000000000002</v>
      </c>
      <c r="O15">
        <v>8.9</v>
      </c>
      <c r="P15" s="40">
        <f t="shared" si="4"/>
        <v>0.8900000000000001</v>
      </c>
      <c r="Q15" s="40">
        <f t="shared" si="5"/>
        <v>8.9</v>
      </c>
      <c r="R15" s="40">
        <f t="shared" si="4"/>
        <v>0.8900000000000001</v>
      </c>
      <c r="T15">
        <v>11</v>
      </c>
      <c r="U15" s="40">
        <f t="shared" si="6"/>
        <v>1.1</v>
      </c>
      <c r="V15" s="40">
        <f t="shared" si="7"/>
        <v>11</v>
      </c>
      <c r="W15" s="40">
        <f t="shared" si="6"/>
        <v>1.1</v>
      </c>
      <c r="Y15">
        <v>7.8</v>
      </c>
      <c r="Z15" s="40">
        <f t="shared" si="8"/>
        <v>0.78</v>
      </c>
      <c r="AA15" s="40">
        <f t="shared" si="9"/>
        <v>7.8</v>
      </c>
      <c r="AB15" s="40">
        <f t="shared" si="8"/>
        <v>0.78</v>
      </c>
    </row>
    <row r="16" spans="1:28" ht="12.75">
      <c r="A16" s="27"/>
      <c r="B16" s="27" t="s">
        <v>31</v>
      </c>
      <c r="C16" s="29">
        <v>0.1</v>
      </c>
      <c r="F16" s="32">
        <f t="shared" si="0"/>
      </c>
      <c r="G16" s="32">
        <f t="shared" si="1"/>
      </c>
      <c r="H16" s="32">
        <f t="shared" si="0"/>
      </c>
      <c r="I16"/>
      <c r="J16">
        <v>23</v>
      </c>
      <c r="K16" s="32">
        <f t="shared" si="2"/>
        <v>2.3000000000000003</v>
      </c>
      <c r="L16" s="32">
        <f t="shared" si="3"/>
        <v>23</v>
      </c>
      <c r="M16" s="32">
        <f t="shared" si="2"/>
        <v>2.3000000000000003</v>
      </c>
      <c r="O16">
        <v>14</v>
      </c>
      <c r="P16" s="40">
        <f t="shared" si="4"/>
        <v>1.4000000000000001</v>
      </c>
      <c r="Q16" s="40">
        <f t="shared" si="5"/>
        <v>14</v>
      </c>
      <c r="R16" s="40">
        <f t="shared" si="4"/>
        <v>1.4000000000000001</v>
      </c>
      <c r="T16">
        <v>16</v>
      </c>
      <c r="U16" s="40">
        <f t="shared" si="6"/>
        <v>1.6</v>
      </c>
      <c r="V16" s="40">
        <f t="shared" si="7"/>
        <v>16</v>
      </c>
      <c r="W16" s="40">
        <f t="shared" si="6"/>
        <v>1.6</v>
      </c>
      <c r="Y16">
        <v>16</v>
      </c>
      <c r="Z16" s="40">
        <f t="shared" si="8"/>
        <v>1.6</v>
      </c>
      <c r="AA16" s="40">
        <f t="shared" si="9"/>
        <v>16</v>
      </c>
      <c r="AB16" s="40">
        <f t="shared" si="8"/>
        <v>1.6</v>
      </c>
    </row>
    <row r="17" spans="1:28" ht="12.75">
      <c r="A17" s="27"/>
      <c r="B17" s="27" t="s">
        <v>32</v>
      </c>
      <c r="C17" s="29">
        <v>0.1</v>
      </c>
      <c r="F17" s="32">
        <f t="shared" si="0"/>
      </c>
      <c r="G17" s="32">
        <f t="shared" si="1"/>
      </c>
      <c r="H17" s="32">
        <f t="shared" si="0"/>
      </c>
      <c r="I17"/>
      <c r="J17">
        <v>17</v>
      </c>
      <c r="K17" s="32">
        <f t="shared" si="2"/>
        <v>1.7000000000000002</v>
      </c>
      <c r="L17" s="32">
        <f t="shared" si="3"/>
        <v>17</v>
      </c>
      <c r="M17" s="32">
        <f t="shared" si="2"/>
        <v>1.7000000000000002</v>
      </c>
      <c r="O17">
        <v>8.9</v>
      </c>
      <c r="P17" s="40">
        <f t="shared" si="4"/>
        <v>0.8900000000000001</v>
      </c>
      <c r="Q17" s="40">
        <f t="shared" si="5"/>
        <v>8.9</v>
      </c>
      <c r="R17" s="40">
        <f t="shared" si="4"/>
        <v>0.8900000000000001</v>
      </c>
      <c r="T17">
        <v>9.1</v>
      </c>
      <c r="U17" s="40">
        <f t="shared" si="6"/>
        <v>0.91</v>
      </c>
      <c r="V17" s="40">
        <f t="shared" si="7"/>
        <v>9.1</v>
      </c>
      <c r="W17" s="40">
        <f t="shared" si="6"/>
        <v>0.91</v>
      </c>
      <c r="Y17">
        <v>6.5</v>
      </c>
      <c r="Z17" s="40">
        <f t="shared" si="8"/>
        <v>0.65</v>
      </c>
      <c r="AA17" s="40">
        <f t="shared" si="9"/>
        <v>6.5</v>
      </c>
      <c r="AB17" s="40">
        <f t="shared" si="8"/>
        <v>0.65</v>
      </c>
    </row>
    <row r="18" spans="1:28" ht="12.75">
      <c r="A18" s="27"/>
      <c r="B18" s="27" t="s">
        <v>95</v>
      </c>
      <c r="C18" s="29">
        <v>0</v>
      </c>
      <c r="F18" s="40">
        <f t="shared" si="0"/>
      </c>
      <c r="G18" s="40">
        <f t="shared" si="1"/>
      </c>
      <c r="H18" s="40">
        <f t="shared" si="0"/>
      </c>
      <c r="I18"/>
      <c r="J18">
        <v>230</v>
      </c>
      <c r="K18" s="32">
        <f t="shared" si="2"/>
        <v>0</v>
      </c>
      <c r="L18" s="40">
        <f t="shared" si="3"/>
        <v>230</v>
      </c>
      <c r="M18" s="32">
        <f t="shared" si="2"/>
        <v>0</v>
      </c>
      <c r="O18">
        <v>150</v>
      </c>
      <c r="P18" s="40">
        <f t="shared" si="4"/>
        <v>0</v>
      </c>
      <c r="Q18" s="40">
        <f t="shared" si="5"/>
        <v>150</v>
      </c>
      <c r="R18" s="40">
        <f t="shared" si="4"/>
        <v>0</v>
      </c>
      <c r="T18">
        <v>200</v>
      </c>
      <c r="U18" s="40">
        <f t="shared" si="6"/>
        <v>0</v>
      </c>
      <c r="V18" s="40">
        <f t="shared" si="7"/>
        <v>200</v>
      </c>
      <c r="W18" s="40">
        <f t="shared" si="6"/>
        <v>0</v>
      </c>
      <c r="Y18">
        <v>160</v>
      </c>
      <c r="Z18" s="40">
        <f t="shared" si="8"/>
        <v>0</v>
      </c>
      <c r="AA18" s="40">
        <f t="shared" si="9"/>
        <v>160</v>
      </c>
      <c r="AB18" s="40">
        <f t="shared" si="8"/>
        <v>0</v>
      </c>
    </row>
    <row r="19" spans="1:28" ht="12.75">
      <c r="A19" s="27"/>
      <c r="B19" s="27" t="s">
        <v>33</v>
      </c>
      <c r="C19" s="29">
        <v>0.01</v>
      </c>
      <c r="F19" s="32">
        <f t="shared" si="0"/>
      </c>
      <c r="G19" s="32">
        <f t="shared" si="1"/>
      </c>
      <c r="H19" s="32">
        <f t="shared" si="0"/>
      </c>
      <c r="I19"/>
      <c r="J19">
        <v>89</v>
      </c>
      <c r="K19" s="32">
        <f t="shared" si="2"/>
        <v>0.89</v>
      </c>
      <c r="L19" s="32">
        <f t="shared" si="3"/>
        <v>89</v>
      </c>
      <c r="M19" s="32">
        <f t="shared" si="2"/>
        <v>0.89</v>
      </c>
      <c r="O19">
        <v>47</v>
      </c>
      <c r="P19" s="40">
        <f t="shared" si="4"/>
        <v>0.47000000000000003</v>
      </c>
      <c r="Q19" s="40">
        <f t="shared" si="5"/>
        <v>47</v>
      </c>
      <c r="R19" s="40">
        <f t="shared" si="4"/>
        <v>0.47000000000000003</v>
      </c>
      <c r="T19">
        <v>47</v>
      </c>
      <c r="U19" s="40">
        <f t="shared" si="6"/>
        <v>0.47000000000000003</v>
      </c>
      <c r="V19" s="40">
        <f t="shared" si="7"/>
        <v>47</v>
      </c>
      <c r="W19" s="40">
        <f t="shared" si="6"/>
        <v>0.47000000000000003</v>
      </c>
      <c r="Y19">
        <v>48</v>
      </c>
      <c r="Z19" s="40">
        <f t="shared" si="8"/>
        <v>0.48</v>
      </c>
      <c r="AA19" s="40">
        <f t="shared" si="9"/>
        <v>48</v>
      </c>
      <c r="AB19" s="40">
        <f t="shared" si="8"/>
        <v>0.48</v>
      </c>
    </row>
    <row r="20" spans="1:28" ht="12.75">
      <c r="A20" s="27"/>
      <c r="B20" s="27" t="s">
        <v>96</v>
      </c>
      <c r="C20" s="29">
        <v>0</v>
      </c>
      <c r="F20" s="40">
        <f t="shared" si="0"/>
      </c>
      <c r="G20" s="40">
        <f t="shared" si="1"/>
      </c>
      <c r="H20" s="40">
        <f t="shared" si="0"/>
      </c>
      <c r="I20"/>
      <c r="J20">
        <v>180</v>
      </c>
      <c r="K20" s="32">
        <f t="shared" si="2"/>
        <v>0</v>
      </c>
      <c r="L20" s="40">
        <f t="shared" si="3"/>
        <v>180</v>
      </c>
      <c r="M20" s="32">
        <f t="shared" si="2"/>
        <v>0</v>
      </c>
      <c r="O20">
        <v>99</v>
      </c>
      <c r="P20" s="40">
        <f t="shared" si="4"/>
        <v>0</v>
      </c>
      <c r="Q20" s="40">
        <f t="shared" si="5"/>
        <v>99</v>
      </c>
      <c r="R20" s="40">
        <f t="shared" si="4"/>
        <v>0</v>
      </c>
      <c r="T20">
        <v>100</v>
      </c>
      <c r="U20" s="40">
        <f t="shared" si="6"/>
        <v>0</v>
      </c>
      <c r="V20" s="40">
        <f t="shared" si="7"/>
        <v>100</v>
      </c>
      <c r="W20" s="40">
        <f t="shared" si="6"/>
        <v>0</v>
      </c>
      <c r="Y20">
        <v>110</v>
      </c>
      <c r="Z20" s="40">
        <f t="shared" si="8"/>
        <v>0</v>
      </c>
      <c r="AA20" s="40">
        <f t="shared" si="9"/>
        <v>110</v>
      </c>
      <c r="AB20" s="40">
        <f t="shared" si="8"/>
        <v>0</v>
      </c>
    </row>
    <row r="21" spans="1:28" ht="12.75">
      <c r="A21" s="27"/>
      <c r="B21" s="27" t="s">
        <v>34</v>
      </c>
      <c r="C21" s="29">
        <v>0.001</v>
      </c>
      <c r="F21" s="32">
        <f t="shared" si="0"/>
      </c>
      <c r="G21" s="32">
        <f t="shared" si="1"/>
      </c>
      <c r="H21" s="32">
        <f t="shared" si="0"/>
      </c>
      <c r="I21"/>
      <c r="J21">
        <v>220</v>
      </c>
      <c r="K21" s="32">
        <f t="shared" si="2"/>
        <v>0.22</v>
      </c>
      <c r="L21" s="40">
        <f t="shared" si="3"/>
        <v>220</v>
      </c>
      <c r="M21" s="32">
        <f t="shared" si="2"/>
        <v>0.22</v>
      </c>
      <c r="O21">
        <v>93</v>
      </c>
      <c r="P21" s="40">
        <f t="shared" si="4"/>
        <v>0.093</v>
      </c>
      <c r="Q21" s="40">
        <f t="shared" si="5"/>
        <v>93</v>
      </c>
      <c r="R21" s="40">
        <f t="shared" si="4"/>
        <v>0.093</v>
      </c>
      <c r="T21">
        <v>84</v>
      </c>
      <c r="U21" s="40">
        <f t="shared" si="6"/>
        <v>0.084</v>
      </c>
      <c r="V21" s="40">
        <f t="shared" si="7"/>
        <v>84</v>
      </c>
      <c r="W21" s="40">
        <f t="shared" si="6"/>
        <v>0.084</v>
      </c>
      <c r="Y21">
        <v>86</v>
      </c>
      <c r="Z21" s="40">
        <f t="shared" si="8"/>
        <v>0.08600000000000001</v>
      </c>
      <c r="AA21" s="40">
        <f t="shared" si="9"/>
        <v>86</v>
      </c>
      <c r="AB21" s="40">
        <f t="shared" si="8"/>
        <v>0.08600000000000001</v>
      </c>
    </row>
    <row r="22" spans="1:28" ht="12.75">
      <c r="A22" s="27"/>
      <c r="B22" s="27" t="s">
        <v>35</v>
      </c>
      <c r="C22" s="29">
        <v>0.1</v>
      </c>
      <c r="F22" s="32">
        <f t="shared" si="0"/>
      </c>
      <c r="G22" s="32">
        <f t="shared" si="1"/>
      </c>
      <c r="H22" s="32">
        <f t="shared" si="0"/>
      </c>
      <c r="I22"/>
      <c r="J22">
        <v>29</v>
      </c>
      <c r="K22" s="32">
        <f t="shared" si="2"/>
        <v>2.9000000000000004</v>
      </c>
      <c r="L22" s="40">
        <f t="shared" si="3"/>
        <v>29</v>
      </c>
      <c r="M22" s="32">
        <f t="shared" si="2"/>
        <v>2.9000000000000004</v>
      </c>
      <c r="O22">
        <v>18</v>
      </c>
      <c r="P22" s="40">
        <f t="shared" si="4"/>
        <v>1.8</v>
      </c>
      <c r="Q22" s="40">
        <f t="shared" si="5"/>
        <v>18</v>
      </c>
      <c r="R22" s="40">
        <f t="shared" si="4"/>
        <v>1.8</v>
      </c>
      <c r="T22">
        <v>16</v>
      </c>
      <c r="U22" s="40">
        <f t="shared" si="6"/>
        <v>1.6</v>
      </c>
      <c r="V22" s="40">
        <f t="shared" si="7"/>
        <v>16</v>
      </c>
      <c r="W22" s="40">
        <f t="shared" si="6"/>
        <v>1.6</v>
      </c>
      <c r="Y22">
        <v>21</v>
      </c>
      <c r="Z22" s="40">
        <f t="shared" si="8"/>
        <v>2.1</v>
      </c>
      <c r="AA22" s="40">
        <f t="shared" si="9"/>
        <v>21</v>
      </c>
      <c r="AB22" s="40">
        <f t="shared" si="8"/>
        <v>2.1</v>
      </c>
    </row>
    <row r="23" spans="1:28" ht="12.75">
      <c r="A23" s="27"/>
      <c r="B23" s="27" t="s">
        <v>97</v>
      </c>
      <c r="C23" s="29">
        <v>0</v>
      </c>
      <c r="F23" s="40">
        <f t="shared" si="0"/>
      </c>
      <c r="G23" s="40">
        <f t="shared" si="1"/>
      </c>
      <c r="H23" s="40">
        <f t="shared" si="0"/>
      </c>
      <c r="I23"/>
      <c r="J23">
        <v>1400</v>
      </c>
      <c r="K23" s="32">
        <f t="shared" si="2"/>
        <v>0</v>
      </c>
      <c r="L23" s="40">
        <f t="shared" si="3"/>
        <v>1400</v>
      </c>
      <c r="M23" s="32">
        <f t="shared" si="2"/>
        <v>0</v>
      </c>
      <c r="O23">
        <v>980</v>
      </c>
      <c r="P23" s="40">
        <f t="shared" si="4"/>
        <v>0</v>
      </c>
      <c r="Q23" s="40">
        <f t="shared" si="5"/>
        <v>980</v>
      </c>
      <c r="R23" s="40">
        <f t="shared" si="4"/>
        <v>0</v>
      </c>
      <c r="T23">
        <v>1000</v>
      </c>
      <c r="U23" s="40">
        <f t="shared" si="6"/>
        <v>0</v>
      </c>
      <c r="V23" s="40">
        <f t="shared" si="7"/>
        <v>1000</v>
      </c>
      <c r="W23" s="40">
        <f t="shared" si="6"/>
        <v>0</v>
      </c>
      <c r="Y23">
        <v>1700</v>
      </c>
      <c r="Z23" s="40">
        <f t="shared" si="8"/>
        <v>0</v>
      </c>
      <c r="AA23" s="40">
        <f t="shared" si="9"/>
        <v>1700</v>
      </c>
      <c r="AB23" s="40">
        <f t="shared" si="8"/>
        <v>0</v>
      </c>
    </row>
    <row r="24" spans="1:28" ht="12.75">
      <c r="A24" s="27"/>
      <c r="B24" s="27" t="s">
        <v>36</v>
      </c>
      <c r="C24" s="29">
        <v>0.05</v>
      </c>
      <c r="F24" s="32">
        <f t="shared" si="0"/>
      </c>
      <c r="G24" s="40">
        <f t="shared" si="1"/>
      </c>
      <c r="H24" s="32">
        <f t="shared" si="0"/>
      </c>
      <c r="I24"/>
      <c r="J24">
        <v>110</v>
      </c>
      <c r="K24" s="32">
        <f t="shared" si="2"/>
        <v>5.5</v>
      </c>
      <c r="L24" s="40">
        <f t="shared" si="3"/>
        <v>110</v>
      </c>
      <c r="M24" s="32">
        <f t="shared" si="2"/>
        <v>5.5</v>
      </c>
      <c r="O24">
        <v>70</v>
      </c>
      <c r="P24" s="40">
        <f t="shared" si="4"/>
        <v>3.5</v>
      </c>
      <c r="Q24" s="40">
        <f t="shared" si="5"/>
        <v>70</v>
      </c>
      <c r="R24" s="40">
        <f t="shared" si="4"/>
        <v>3.5</v>
      </c>
      <c r="T24">
        <v>66</v>
      </c>
      <c r="U24" s="40">
        <f t="shared" si="6"/>
        <v>3.3000000000000003</v>
      </c>
      <c r="V24" s="40">
        <f t="shared" si="7"/>
        <v>66</v>
      </c>
      <c r="W24" s="40">
        <f t="shared" si="6"/>
        <v>3.3000000000000003</v>
      </c>
      <c r="Y24">
        <v>80</v>
      </c>
      <c r="Z24" s="40">
        <f t="shared" si="8"/>
        <v>4</v>
      </c>
      <c r="AA24" s="40">
        <f t="shared" si="9"/>
        <v>80</v>
      </c>
      <c r="AB24" s="40">
        <f t="shared" si="8"/>
        <v>4</v>
      </c>
    </row>
    <row r="25" spans="1:28" ht="12.75">
      <c r="A25" s="27"/>
      <c r="B25" s="27" t="s">
        <v>37</v>
      </c>
      <c r="C25" s="29">
        <v>0.5</v>
      </c>
      <c r="F25" s="40">
        <f t="shared" si="0"/>
      </c>
      <c r="G25" s="40">
        <f t="shared" si="1"/>
      </c>
      <c r="H25" s="40">
        <f t="shared" si="0"/>
      </c>
      <c r="I25"/>
      <c r="J25">
        <v>140</v>
      </c>
      <c r="K25" s="32">
        <f t="shared" si="2"/>
        <v>70</v>
      </c>
      <c r="L25" s="40">
        <f t="shared" si="3"/>
        <v>140</v>
      </c>
      <c r="M25" s="32">
        <f t="shared" si="2"/>
        <v>70</v>
      </c>
      <c r="O25">
        <v>71</v>
      </c>
      <c r="P25" s="40">
        <f t="shared" si="4"/>
        <v>35.5</v>
      </c>
      <c r="Q25" s="40">
        <f t="shared" si="5"/>
        <v>71</v>
      </c>
      <c r="R25" s="40">
        <f t="shared" si="4"/>
        <v>35.5</v>
      </c>
      <c r="T25">
        <v>76</v>
      </c>
      <c r="U25" s="40">
        <f t="shared" si="6"/>
        <v>38</v>
      </c>
      <c r="V25" s="40">
        <f t="shared" si="7"/>
        <v>76</v>
      </c>
      <c r="W25" s="40">
        <f t="shared" si="6"/>
        <v>38</v>
      </c>
      <c r="Y25">
        <v>76</v>
      </c>
      <c r="Z25" s="40">
        <f t="shared" si="8"/>
        <v>38</v>
      </c>
      <c r="AA25" s="40">
        <f t="shared" si="9"/>
        <v>76</v>
      </c>
      <c r="AB25" s="40">
        <f t="shared" si="8"/>
        <v>38</v>
      </c>
    </row>
    <row r="26" spans="1:28" ht="12.75">
      <c r="A26" s="27"/>
      <c r="B26" s="27" t="s">
        <v>98</v>
      </c>
      <c r="C26" s="29">
        <v>0</v>
      </c>
      <c r="F26" s="40">
        <f t="shared" si="0"/>
      </c>
      <c r="G26" s="40">
        <f t="shared" si="1"/>
      </c>
      <c r="H26" s="40">
        <f t="shared" si="0"/>
      </c>
      <c r="I26"/>
      <c r="J26">
        <v>2300</v>
      </c>
      <c r="K26" s="32">
        <f t="shared" si="2"/>
        <v>0</v>
      </c>
      <c r="L26" s="40">
        <f t="shared" si="3"/>
        <v>2300</v>
      </c>
      <c r="M26" s="32">
        <f t="shared" si="2"/>
        <v>0</v>
      </c>
      <c r="O26">
        <v>1400</v>
      </c>
      <c r="P26" s="40">
        <f t="shared" si="4"/>
        <v>0</v>
      </c>
      <c r="Q26" s="40">
        <f t="shared" si="5"/>
        <v>1400</v>
      </c>
      <c r="R26" s="40">
        <f t="shared" si="4"/>
        <v>0</v>
      </c>
      <c r="T26">
        <v>1400</v>
      </c>
      <c r="U26" s="40">
        <f t="shared" si="6"/>
        <v>0</v>
      </c>
      <c r="V26" s="40">
        <f t="shared" si="7"/>
        <v>1400</v>
      </c>
      <c r="W26" s="40">
        <f t="shared" si="6"/>
        <v>0</v>
      </c>
      <c r="Y26">
        <v>1800</v>
      </c>
      <c r="Z26" s="40">
        <f t="shared" si="8"/>
        <v>0</v>
      </c>
      <c r="AA26" s="40">
        <f t="shared" si="9"/>
        <v>1800</v>
      </c>
      <c r="AB26" s="40">
        <f t="shared" si="8"/>
        <v>0</v>
      </c>
    </row>
    <row r="27" spans="1:28" ht="12.75">
      <c r="A27" s="27"/>
      <c r="B27" s="27" t="s">
        <v>38</v>
      </c>
      <c r="C27" s="29">
        <v>0.1</v>
      </c>
      <c r="F27" s="40">
        <f t="shared" si="0"/>
      </c>
      <c r="G27" s="40">
        <f t="shared" si="1"/>
      </c>
      <c r="H27" s="40">
        <f t="shared" si="0"/>
      </c>
      <c r="I27"/>
      <c r="J27">
        <v>290</v>
      </c>
      <c r="K27" s="32">
        <f t="shared" si="2"/>
        <v>29</v>
      </c>
      <c r="L27" s="40">
        <f t="shared" si="3"/>
        <v>290</v>
      </c>
      <c r="M27" s="32">
        <f t="shared" si="2"/>
        <v>29</v>
      </c>
      <c r="O27">
        <v>160</v>
      </c>
      <c r="P27" s="40">
        <f t="shared" si="4"/>
        <v>16</v>
      </c>
      <c r="Q27" s="40">
        <f t="shared" si="5"/>
        <v>160</v>
      </c>
      <c r="R27" s="40">
        <f t="shared" si="4"/>
        <v>16</v>
      </c>
      <c r="T27">
        <v>160</v>
      </c>
      <c r="U27" s="40">
        <f t="shared" si="6"/>
        <v>16</v>
      </c>
      <c r="V27" s="40">
        <f t="shared" si="7"/>
        <v>160</v>
      </c>
      <c r="W27" s="40">
        <f t="shared" si="6"/>
        <v>16</v>
      </c>
      <c r="Y27">
        <v>180</v>
      </c>
      <c r="Z27" s="40">
        <f t="shared" si="8"/>
        <v>18</v>
      </c>
      <c r="AA27" s="40">
        <f t="shared" si="9"/>
        <v>180</v>
      </c>
      <c r="AB27" s="40">
        <f t="shared" si="8"/>
        <v>18</v>
      </c>
    </row>
    <row r="28" spans="1:28" ht="12.75">
      <c r="A28" s="27"/>
      <c r="B28" s="27" t="s">
        <v>39</v>
      </c>
      <c r="C28" s="29">
        <v>0.1</v>
      </c>
      <c r="F28" s="40">
        <f t="shared" si="0"/>
      </c>
      <c r="G28" s="40">
        <f t="shared" si="1"/>
      </c>
      <c r="H28" s="40">
        <f t="shared" si="0"/>
      </c>
      <c r="I28"/>
      <c r="J28">
        <v>250</v>
      </c>
      <c r="K28" s="32">
        <f t="shared" si="2"/>
        <v>25</v>
      </c>
      <c r="L28" s="40">
        <f t="shared" si="3"/>
        <v>250</v>
      </c>
      <c r="M28" s="32">
        <f t="shared" si="2"/>
        <v>25</v>
      </c>
      <c r="O28">
        <v>140</v>
      </c>
      <c r="P28" s="40">
        <f t="shared" si="4"/>
        <v>14</v>
      </c>
      <c r="Q28" s="40">
        <f t="shared" si="5"/>
        <v>140</v>
      </c>
      <c r="R28" s="40">
        <f t="shared" si="4"/>
        <v>14</v>
      </c>
      <c r="T28">
        <v>150</v>
      </c>
      <c r="U28" s="40">
        <f t="shared" si="6"/>
        <v>15</v>
      </c>
      <c r="V28" s="40">
        <f t="shared" si="7"/>
        <v>150</v>
      </c>
      <c r="W28" s="40">
        <f t="shared" si="6"/>
        <v>15</v>
      </c>
      <c r="Y28">
        <v>160</v>
      </c>
      <c r="Z28" s="40">
        <f t="shared" si="8"/>
        <v>16</v>
      </c>
      <c r="AA28" s="40">
        <f t="shared" si="9"/>
        <v>160</v>
      </c>
      <c r="AB28" s="40">
        <f t="shared" si="8"/>
        <v>16</v>
      </c>
    </row>
    <row r="29" spans="1:28" ht="12.75">
      <c r="A29" s="27"/>
      <c r="B29" s="27" t="s">
        <v>40</v>
      </c>
      <c r="C29" s="29">
        <v>0.1</v>
      </c>
      <c r="F29" s="40">
        <f t="shared" si="0"/>
      </c>
      <c r="G29" s="40">
        <f t="shared" si="1"/>
      </c>
      <c r="H29" s="40">
        <f t="shared" si="0"/>
      </c>
      <c r="I29"/>
      <c r="J29">
        <v>180</v>
      </c>
      <c r="K29" s="32">
        <f t="shared" si="2"/>
        <v>18</v>
      </c>
      <c r="L29" s="40">
        <f t="shared" si="3"/>
        <v>180</v>
      </c>
      <c r="M29" s="32">
        <f t="shared" si="2"/>
        <v>18</v>
      </c>
      <c r="O29">
        <v>83</v>
      </c>
      <c r="P29" s="40">
        <f t="shared" si="4"/>
        <v>8.3</v>
      </c>
      <c r="Q29" s="40">
        <f t="shared" si="5"/>
        <v>83</v>
      </c>
      <c r="R29" s="40">
        <f t="shared" si="4"/>
        <v>8.3</v>
      </c>
      <c r="T29">
        <v>87</v>
      </c>
      <c r="U29" s="40">
        <f t="shared" si="6"/>
        <v>8.700000000000001</v>
      </c>
      <c r="V29" s="40">
        <f t="shared" si="7"/>
        <v>87</v>
      </c>
      <c r="W29" s="40">
        <f t="shared" si="6"/>
        <v>8.700000000000001</v>
      </c>
      <c r="Y29">
        <v>92</v>
      </c>
      <c r="Z29" s="40">
        <f t="shared" si="8"/>
        <v>9.200000000000001</v>
      </c>
      <c r="AA29" s="40">
        <f t="shared" si="9"/>
        <v>92</v>
      </c>
      <c r="AB29" s="40">
        <f t="shared" si="8"/>
        <v>9.200000000000001</v>
      </c>
    </row>
    <row r="30" spans="1:28" ht="12.75">
      <c r="A30" s="27"/>
      <c r="B30" s="27" t="s">
        <v>41</v>
      </c>
      <c r="C30" s="29">
        <v>0.1</v>
      </c>
      <c r="F30" s="40">
        <f t="shared" si="0"/>
      </c>
      <c r="G30" s="40">
        <f t="shared" si="1"/>
      </c>
      <c r="H30" s="40">
        <f t="shared" si="0"/>
      </c>
      <c r="I30"/>
      <c r="J30">
        <v>68</v>
      </c>
      <c r="K30" s="32">
        <f t="shared" si="2"/>
        <v>6.800000000000001</v>
      </c>
      <c r="L30" s="40">
        <f t="shared" si="3"/>
        <v>68</v>
      </c>
      <c r="M30" s="32">
        <f t="shared" si="2"/>
        <v>6.800000000000001</v>
      </c>
      <c r="O30">
        <v>36</v>
      </c>
      <c r="P30" s="40">
        <f t="shared" si="4"/>
        <v>3.6</v>
      </c>
      <c r="Q30" s="40">
        <f t="shared" si="5"/>
        <v>36</v>
      </c>
      <c r="R30" s="40">
        <f t="shared" si="4"/>
        <v>3.6</v>
      </c>
      <c r="T30">
        <v>28</v>
      </c>
      <c r="U30" s="40">
        <f t="shared" si="6"/>
        <v>2.8000000000000003</v>
      </c>
      <c r="V30" s="40">
        <f t="shared" si="7"/>
        <v>28</v>
      </c>
      <c r="W30" s="40">
        <f t="shared" si="6"/>
        <v>2.8000000000000003</v>
      </c>
      <c r="Y30">
        <v>38</v>
      </c>
      <c r="Z30" s="40">
        <f t="shared" si="8"/>
        <v>3.8000000000000003</v>
      </c>
      <c r="AA30" s="40">
        <f t="shared" si="9"/>
        <v>38</v>
      </c>
      <c r="AB30" s="40">
        <f t="shared" si="8"/>
        <v>3.8000000000000003</v>
      </c>
    </row>
    <row r="31" spans="1:28" ht="12.75">
      <c r="A31" s="27"/>
      <c r="B31" s="27" t="s">
        <v>99</v>
      </c>
      <c r="C31" s="29">
        <v>0</v>
      </c>
      <c r="F31" s="40">
        <f t="shared" si="0"/>
      </c>
      <c r="G31" s="40">
        <f t="shared" si="1"/>
      </c>
      <c r="H31" s="40">
        <f t="shared" si="0"/>
      </c>
      <c r="I31"/>
      <c r="J31">
        <v>2400</v>
      </c>
      <c r="K31" s="32">
        <f t="shared" si="2"/>
        <v>0</v>
      </c>
      <c r="L31" s="40">
        <f t="shared" si="3"/>
        <v>2400</v>
      </c>
      <c r="M31" s="32">
        <f t="shared" si="2"/>
        <v>0</v>
      </c>
      <c r="O31">
        <v>1300</v>
      </c>
      <c r="P31" s="40">
        <f t="shared" si="4"/>
        <v>0</v>
      </c>
      <c r="Q31" s="40">
        <f t="shared" si="5"/>
        <v>1300</v>
      </c>
      <c r="R31" s="40">
        <f t="shared" si="4"/>
        <v>0</v>
      </c>
      <c r="T31">
        <v>1400</v>
      </c>
      <c r="U31" s="40">
        <f t="shared" si="6"/>
        <v>0</v>
      </c>
      <c r="V31" s="40">
        <f t="shared" si="7"/>
        <v>1400</v>
      </c>
      <c r="W31" s="40">
        <f t="shared" si="6"/>
        <v>0</v>
      </c>
      <c r="Y31">
        <v>1600</v>
      </c>
      <c r="Z31" s="40">
        <f t="shared" si="8"/>
        <v>0</v>
      </c>
      <c r="AA31" s="40">
        <f t="shared" si="9"/>
        <v>1600</v>
      </c>
      <c r="AB31" s="40">
        <f t="shared" si="8"/>
        <v>0</v>
      </c>
    </row>
    <row r="32" spans="1:28" ht="12.75">
      <c r="A32" s="27"/>
      <c r="B32" s="27" t="s">
        <v>42</v>
      </c>
      <c r="C32" s="29">
        <v>0.01</v>
      </c>
      <c r="F32" s="40">
        <f t="shared" si="0"/>
      </c>
      <c r="G32" s="40">
        <f t="shared" si="1"/>
      </c>
      <c r="H32" s="40">
        <f t="shared" si="0"/>
      </c>
      <c r="I32"/>
      <c r="J32">
        <v>1100</v>
      </c>
      <c r="K32" s="32">
        <f t="shared" si="2"/>
        <v>11</v>
      </c>
      <c r="L32" s="40">
        <f t="shared" si="3"/>
        <v>1100</v>
      </c>
      <c r="M32" s="32">
        <f t="shared" si="2"/>
        <v>11</v>
      </c>
      <c r="O32">
        <v>450</v>
      </c>
      <c r="P32" s="40">
        <f t="shared" si="4"/>
        <v>4.5</v>
      </c>
      <c r="Q32" s="40">
        <f t="shared" si="5"/>
        <v>450</v>
      </c>
      <c r="R32" s="40">
        <f t="shared" si="4"/>
        <v>4.5</v>
      </c>
      <c r="T32">
        <v>520</v>
      </c>
      <c r="U32" s="40">
        <f t="shared" si="6"/>
        <v>5.2</v>
      </c>
      <c r="V32" s="40">
        <f t="shared" si="7"/>
        <v>520</v>
      </c>
      <c r="W32" s="40">
        <f t="shared" si="6"/>
        <v>5.2</v>
      </c>
      <c r="Y32">
        <v>560</v>
      </c>
      <c r="Z32" s="40">
        <f t="shared" si="8"/>
        <v>5.6000000000000005</v>
      </c>
      <c r="AA32" s="40">
        <f t="shared" si="9"/>
        <v>560</v>
      </c>
      <c r="AB32" s="40">
        <f t="shared" si="8"/>
        <v>5.6000000000000005</v>
      </c>
    </row>
    <row r="33" spans="1:28" ht="12.75">
      <c r="A33" s="27"/>
      <c r="B33" s="27" t="s">
        <v>43</v>
      </c>
      <c r="C33" s="29">
        <v>0.01</v>
      </c>
      <c r="F33" s="32">
        <f t="shared" si="0"/>
      </c>
      <c r="G33" s="40">
        <f t="shared" si="1"/>
      </c>
      <c r="H33" s="32">
        <f t="shared" si="0"/>
      </c>
      <c r="I33"/>
      <c r="J33">
        <v>120</v>
      </c>
      <c r="K33" s="32">
        <f t="shared" si="2"/>
        <v>1.2</v>
      </c>
      <c r="L33" s="40">
        <f t="shared" si="3"/>
        <v>120</v>
      </c>
      <c r="M33" s="32">
        <f t="shared" si="2"/>
        <v>1.2</v>
      </c>
      <c r="O33">
        <v>60</v>
      </c>
      <c r="P33" s="40">
        <f t="shared" si="4"/>
        <v>0.6</v>
      </c>
      <c r="Q33" s="40">
        <f t="shared" si="5"/>
        <v>60</v>
      </c>
      <c r="R33" s="40">
        <f t="shared" si="4"/>
        <v>0.6</v>
      </c>
      <c r="T33">
        <v>48</v>
      </c>
      <c r="U33" s="40">
        <f t="shared" si="6"/>
        <v>0.48</v>
      </c>
      <c r="V33" s="40">
        <f t="shared" si="7"/>
        <v>48</v>
      </c>
      <c r="W33" s="40">
        <f t="shared" si="6"/>
        <v>0.48</v>
      </c>
      <c r="Y33">
        <v>53</v>
      </c>
      <c r="Z33" s="40">
        <f t="shared" si="8"/>
        <v>0.53</v>
      </c>
      <c r="AA33" s="40">
        <f t="shared" si="9"/>
        <v>53</v>
      </c>
      <c r="AB33" s="40">
        <f t="shared" si="8"/>
        <v>0.53</v>
      </c>
    </row>
    <row r="34" spans="1:28" ht="12.75">
      <c r="A34" s="27"/>
      <c r="B34" s="27" t="s">
        <v>100</v>
      </c>
      <c r="C34" s="29">
        <v>0</v>
      </c>
      <c r="F34" s="40">
        <f t="shared" si="0"/>
      </c>
      <c r="G34" s="40">
        <f t="shared" si="1"/>
      </c>
      <c r="H34" s="40">
        <f t="shared" si="0"/>
      </c>
      <c r="I34"/>
      <c r="J34">
        <v>1600</v>
      </c>
      <c r="K34" s="32">
        <f t="shared" si="2"/>
        <v>0</v>
      </c>
      <c r="L34" s="40">
        <f t="shared" si="3"/>
        <v>1600</v>
      </c>
      <c r="M34" s="32">
        <f t="shared" si="2"/>
        <v>0</v>
      </c>
      <c r="O34">
        <v>720</v>
      </c>
      <c r="P34" s="40">
        <f t="shared" si="4"/>
        <v>0</v>
      </c>
      <c r="Q34" s="40">
        <f t="shared" si="5"/>
        <v>720</v>
      </c>
      <c r="R34" s="40">
        <f t="shared" si="4"/>
        <v>0</v>
      </c>
      <c r="T34">
        <v>780</v>
      </c>
      <c r="U34" s="40">
        <f t="shared" si="6"/>
        <v>0</v>
      </c>
      <c r="V34" s="40">
        <f t="shared" si="7"/>
        <v>780</v>
      </c>
      <c r="W34" s="40">
        <f t="shared" si="6"/>
        <v>0</v>
      </c>
      <c r="Y34">
        <v>850</v>
      </c>
      <c r="Z34" s="40">
        <f t="shared" si="8"/>
        <v>0</v>
      </c>
      <c r="AA34" s="40">
        <f t="shared" si="9"/>
        <v>850</v>
      </c>
      <c r="AB34" s="40">
        <f t="shared" si="8"/>
        <v>0</v>
      </c>
    </row>
    <row r="35" spans="1:28" ht="12.75">
      <c r="A35" s="27"/>
      <c r="B35" s="27" t="s">
        <v>44</v>
      </c>
      <c r="C35" s="29">
        <v>0.001</v>
      </c>
      <c r="F35" s="32">
        <f t="shared" si="0"/>
      </c>
      <c r="G35" s="40">
        <f t="shared" si="1"/>
      </c>
      <c r="H35" s="32">
        <f t="shared" si="0"/>
      </c>
      <c r="I35"/>
      <c r="J35">
        <v>420</v>
      </c>
      <c r="K35" s="32">
        <f t="shared" si="2"/>
        <v>0.42</v>
      </c>
      <c r="L35" s="40">
        <f t="shared" si="3"/>
        <v>420</v>
      </c>
      <c r="M35" s="32">
        <f t="shared" si="2"/>
        <v>0.42</v>
      </c>
      <c r="O35">
        <v>160</v>
      </c>
      <c r="P35" s="40">
        <f t="shared" si="4"/>
        <v>0.16</v>
      </c>
      <c r="Q35" s="40">
        <f t="shared" si="5"/>
        <v>160</v>
      </c>
      <c r="R35" s="40">
        <f t="shared" si="4"/>
        <v>0.16</v>
      </c>
      <c r="T35">
        <v>130</v>
      </c>
      <c r="U35" s="40">
        <f t="shared" si="6"/>
        <v>0.13</v>
      </c>
      <c r="V35" s="40">
        <f t="shared" si="7"/>
        <v>130</v>
      </c>
      <c r="W35" s="40">
        <f t="shared" si="6"/>
        <v>0.13</v>
      </c>
      <c r="Y35">
        <v>140</v>
      </c>
      <c r="Z35" s="40">
        <f t="shared" si="8"/>
        <v>0.14</v>
      </c>
      <c r="AA35" s="40">
        <f t="shared" si="9"/>
        <v>140</v>
      </c>
      <c r="AB35" s="40">
        <f t="shared" si="8"/>
        <v>0.14</v>
      </c>
    </row>
    <row r="36" spans="1:28" ht="12.75">
      <c r="A36" s="27"/>
      <c r="B36" s="27"/>
      <c r="C36" s="27"/>
      <c r="D36" s="27"/>
      <c r="E36" s="32"/>
      <c r="F36" s="35"/>
      <c r="G36" s="32"/>
      <c r="H36" s="35"/>
      <c r="I36" s="51"/>
      <c r="J36" s="12"/>
      <c r="K36" s="30"/>
      <c r="L36" s="30"/>
      <c r="M36" s="30"/>
      <c r="N36" s="32"/>
      <c r="O36" s="12"/>
      <c r="P36" s="34"/>
      <c r="Q36" s="32"/>
      <c r="R36" s="34"/>
      <c r="S36" s="32"/>
      <c r="T36" s="12"/>
      <c r="U36" s="34"/>
      <c r="V36" s="32"/>
      <c r="W36" s="34"/>
      <c r="X36" s="32"/>
      <c r="Y36" s="12"/>
      <c r="Z36" s="34"/>
      <c r="AA36" s="32"/>
      <c r="AB36" s="34"/>
    </row>
    <row r="37" spans="1:28" ht="12.75">
      <c r="A37" s="27"/>
      <c r="B37" s="27" t="s">
        <v>45</v>
      </c>
      <c r="C37" s="27"/>
      <c r="D37" s="27"/>
      <c r="E37" s="32"/>
      <c r="F37">
        <f>E37</f>
        <v>0</v>
      </c>
      <c r="G37">
        <v>167.92</v>
      </c>
      <c r="H37">
        <f>G37</f>
        <v>167.92</v>
      </c>
      <c r="I37"/>
      <c r="K37">
        <f>M37</f>
        <v>153.659</v>
      </c>
      <c r="L37">
        <v>153.659</v>
      </c>
      <c r="M37">
        <f>L37</f>
        <v>153.659</v>
      </c>
      <c r="P37">
        <f>R37</f>
        <v>155.858</v>
      </c>
      <c r="Q37">
        <v>155.858</v>
      </c>
      <c r="R37">
        <f>Q37</f>
        <v>155.858</v>
      </c>
      <c r="S37" s="32"/>
      <c r="U37">
        <f>W37</f>
        <v>172.649</v>
      </c>
      <c r="V37">
        <v>172.649</v>
      </c>
      <c r="W37" s="81">
        <f>V37</f>
        <v>172.649</v>
      </c>
      <c r="X37" s="32"/>
      <c r="Z37">
        <f>AB37</f>
        <v>180.09</v>
      </c>
      <c r="AA37">
        <v>180.09</v>
      </c>
      <c r="AB37" s="81">
        <f>AA37</f>
        <v>180.09</v>
      </c>
    </row>
    <row r="38" spans="1:28" ht="12.75">
      <c r="A38" s="27"/>
      <c r="B38" s="27" t="s">
        <v>60</v>
      </c>
      <c r="C38" s="27"/>
      <c r="D38" s="27"/>
      <c r="E38" s="32"/>
      <c r="F38">
        <f>E38</f>
        <v>0</v>
      </c>
      <c r="G38">
        <v>13.52</v>
      </c>
      <c r="H38">
        <f>G38</f>
        <v>13.52</v>
      </c>
      <c r="I38"/>
      <c r="K38">
        <f>M38</f>
        <v>14.53</v>
      </c>
      <c r="L38">
        <v>14.53</v>
      </c>
      <c r="M38">
        <f>L38</f>
        <v>14.53</v>
      </c>
      <c r="P38">
        <f>R38</f>
        <v>14.49</v>
      </c>
      <c r="Q38">
        <v>14.49</v>
      </c>
      <c r="R38">
        <f>Q38</f>
        <v>14.49</v>
      </c>
      <c r="S38" s="32"/>
      <c r="U38">
        <f>W38</f>
        <v>14.5</v>
      </c>
      <c r="V38">
        <v>14.5</v>
      </c>
      <c r="W38">
        <f>V38</f>
        <v>14.5</v>
      </c>
      <c r="X38" s="32"/>
      <c r="Z38">
        <f>AB38</f>
        <v>14.66</v>
      </c>
      <c r="AA38">
        <v>14.66</v>
      </c>
      <c r="AB38">
        <f>AA38</f>
        <v>14.66</v>
      </c>
    </row>
    <row r="39" spans="1:28" ht="12.75">
      <c r="A39" s="27"/>
      <c r="B39" s="27"/>
      <c r="C39" s="27"/>
      <c r="D39" s="27"/>
      <c r="E39" s="32"/>
      <c r="F39" s="12"/>
      <c r="G39" s="32"/>
      <c r="H39" s="12"/>
      <c r="I39" s="45"/>
      <c r="J39" s="32"/>
      <c r="K39" s="33"/>
      <c r="L39" s="30"/>
      <c r="M39" s="33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</row>
    <row r="40" spans="1:28" ht="12.75">
      <c r="A40" s="27"/>
      <c r="B40" s="27" t="s">
        <v>101</v>
      </c>
      <c r="C40" s="35"/>
      <c r="D40" s="35"/>
      <c r="E40" s="30"/>
      <c r="F40" s="31"/>
      <c r="G40" s="30"/>
      <c r="H40" s="31"/>
      <c r="I40" s="37"/>
      <c r="J40" s="30"/>
      <c r="K40" s="31">
        <f>SUM(K11:K35)/1000</f>
        <v>0.19122999999999998</v>
      </c>
      <c r="L40" s="30">
        <f>SUM(L35,L34,L31,L26,L23,L21,L20,L18,L14,L12)/1000</f>
        <v>9.01</v>
      </c>
      <c r="M40" s="31">
        <f>SUM(M11:M35)/1000</f>
        <v>0.18843</v>
      </c>
      <c r="N40" s="35"/>
      <c r="O40" s="32"/>
      <c r="P40" s="32">
        <f>SUM(P11:P35)/1000</f>
        <v>0.10065299999999998</v>
      </c>
      <c r="Q40" s="30">
        <f>SUM(Q35,Q34,Q31,Q26,Q23,Q21,Q20,Q18,Q14,Q12)/1000</f>
        <v>5.035</v>
      </c>
      <c r="R40" s="32">
        <f>SUM(R11:R35)/1000</f>
        <v>0.09855299999999999</v>
      </c>
      <c r="S40" s="35"/>
      <c r="T40" s="32"/>
      <c r="U40" s="32">
        <f>SUM(U11:U35)/1000</f>
        <v>0.106474</v>
      </c>
      <c r="V40" s="30">
        <f>SUM(V35,V34,V31,V26,V23,V21,V20,V18,V14,V12)/1000</f>
        <v>5.258</v>
      </c>
      <c r="W40" s="32">
        <f>SUM(W11:W35)/1000</f>
        <v>0.103124</v>
      </c>
      <c r="X40" s="35"/>
      <c r="Y40" s="32"/>
      <c r="Z40" s="32">
        <f>SUM(Z11:Z35)/1000</f>
        <v>0.112766</v>
      </c>
      <c r="AA40" s="30">
        <f>SUM(AA35,AA34,AA31,AA26,AA23,AA21,AA20,AA18,AA14,AA12)/1000</f>
        <v>6.706</v>
      </c>
      <c r="AB40" s="32">
        <f>SUM(AB11:AB35)/1000</f>
        <v>0.109266</v>
      </c>
    </row>
    <row r="41" spans="1:28" ht="12.75">
      <c r="A41" s="27"/>
      <c r="B41" s="27" t="s">
        <v>46</v>
      </c>
      <c r="C41" s="35"/>
      <c r="D41" s="35"/>
      <c r="E41" s="32"/>
      <c r="F41" s="35"/>
      <c r="G41" s="31"/>
      <c r="H41" s="35"/>
      <c r="I41" s="30">
        <f>(K41-M41)*2/K41*100</f>
        <v>2.9284108142027314</v>
      </c>
      <c r="J41" s="32"/>
      <c r="K41" s="35">
        <f>K40/K37/0.0283*(21-7)/(21-K38)</f>
        <v>0.09515581690894388</v>
      </c>
      <c r="L41" s="32">
        <f>(L40/L37/0.0283*(21-7)/(21-L38))</f>
        <v>4.483365111904955</v>
      </c>
      <c r="M41" s="35">
        <f>M40/M37/0.0283*(21-7)/(21-M38)</f>
        <v>0.09376254029259165</v>
      </c>
      <c r="N41" s="30">
        <f>(P41-R41)*2/P41*100</f>
        <v>4.172751929897768</v>
      </c>
      <c r="O41" s="32"/>
      <c r="P41" s="35">
        <f>P40/P37/0.0283*(21-7)/(21-P38)</f>
        <v>0.04907476587167277</v>
      </c>
      <c r="Q41" s="32">
        <f>(Q40/Q37/0.0283*(21-7)/(21-Q38))</f>
        <v>2.454884068670307</v>
      </c>
      <c r="R41" s="35">
        <f>R40/R37/0.0283*(21-7)/(21-R38)</f>
        <v>0.04805088175167125</v>
      </c>
      <c r="S41" s="30">
        <f>(U41-W41)*2/U41*100</f>
        <v>6.292616037718132</v>
      </c>
      <c r="T41" s="32"/>
      <c r="U41" s="32">
        <f>U40/U37/0.0283*(21-7)/(21-U38)</f>
        <v>0.046936180589322356</v>
      </c>
      <c r="V41" s="32">
        <f>(V40/V37/0.0283*(21-7)/(21-V38))</f>
        <v>2.317846963001831</v>
      </c>
      <c r="W41" s="32">
        <f>W40/W37/0.0283*(21-7)/(21-W38)</f>
        <v>0.045459423775694334</v>
      </c>
      <c r="X41" s="30">
        <f>(Z41-AB41)*2/Z41*100</f>
        <v>6.2075448273415805</v>
      </c>
      <c r="Y41" s="32"/>
      <c r="Z41" s="32">
        <f>Z40/Z37/0.0283*(21-7)/(21-Z38)</f>
        <v>0.048858588891110784</v>
      </c>
      <c r="AA41" s="32">
        <f>(AA40/AA37/0.0283*(21-7)/(21-AA38))</f>
        <v>2.905536217510498</v>
      </c>
      <c r="AB41" s="32">
        <f>AB40/AB37/0.0283*(21-7)/(21-AB38)</f>
        <v>0.047342129487399666</v>
      </c>
    </row>
    <row r="42" spans="1:24" ht="12.75">
      <c r="A42" s="27"/>
      <c r="B42" s="27"/>
      <c r="C42" s="27"/>
      <c r="D42" s="27"/>
      <c r="E42" s="31"/>
      <c r="F42" s="35"/>
      <c r="G42" s="31"/>
      <c r="H42" s="35"/>
      <c r="I42" s="52"/>
      <c r="J42" s="31"/>
      <c r="K42" s="31"/>
      <c r="L42" s="31"/>
      <c r="M42" s="31"/>
      <c r="N42" s="31"/>
      <c r="O42" s="31"/>
      <c r="P42" s="34"/>
      <c r="Q42" s="31"/>
      <c r="R42" s="34"/>
      <c r="S42" s="31"/>
      <c r="T42" s="31"/>
      <c r="U42" s="34"/>
      <c r="V42" s="31"/>
      <c r="W42" s="34"/>
      <c r="X42" s="31"/>
    </row>
    <row r="43" spans="1:24" ht="12.75">
      <c r="A43" s="32"/>
      <c r="B43" s="27" t="s">
        <v>61</v>
      </c>
      <c r="C43" s="35">
        <f>AVERAGE(M41,R41,W41,AB41)</f>
        <v>0.05865374382683922</v>
      </c>
      <c r="D43" s="32"/>
      <c r="E43" s="32"/>
      <c r="F43" s="35"/>
      <c r="G43" s="32"/>
      <c r="H43" s="35"/>
      <c r="I43" s="51"/>
      <c r="J43" s="32"/>
      <c r="K43" s="32"/>
      <c r="L43" s="32"/>
      <c r="M43" s="32"/>
      <c r="N43" s="32"/>
      <c r="O43" s="32"/>
      <c r="P43" s="34"/>
      <c r="Q43" s="32"/>
      <c r="R43" s="34"/>
      <c r="S43" s="32"/>
      <c r="T43" s="32"/>
      <c r="U43" s="34"/>
      <c r="V43" s="32"/>
      <c r="W43" s="34"/>
      <c r="X43" s="32"/>
    </row>
    <row r="44" spans="1:24" ht="12.75">
      <c r="A44" s="27"/>
      <c r="B44" s="27" t="s">
        <v>62</v>
      </c>
      <c r="C44" s="35">
        <f>AVERAGE(L41,Q41,V41,AA41)</f>
        <v>3.0404080902718977</v>
      </c>
      <c r="D44" s="27"/>
      <c r="E44" s="34"/>
      <c r="F44" s="35"/>
      <c r="G44" s="34"/>
      <c r="H44" s="35"/>
      <c r="I44" s="38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</row>
  </sheetData>
  <printOptions headings="1" horizontalCentered="1"/>
  <pageMargins left="0.25" right="0.25" top="0.5" bottom="0.5" header="0.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G44"/>
  <sheetViews>
    <sheetView workbookViewId="0" topLeftCell="A23">
      <selection activeCell="B2" sqref="B2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11.28125" style="0" customWidth="1"/>
    <col min="4" max="4" width="3.7109375" style="0" customWidth="1"/>
    <col min="5" max="5" width="9.421875" style="0" customWidth="1"/>
    <col min="6" max="6" width="9.8515625" style="0" customWidth="1"/>
    <col min="8" max="8" width="9.8515625" style="0" customWidth="1"/>
    <col min="9" max="9" width="3.421875" style="50" customWidth="1"/>
    <col min="11" max="11" width="9.28125" style="0" customWidth="1"/>
    <col min="13" max="13" width="9.28125" style="0" customWidth="1"/>
    <col min="14" max="14" width="3.7109375" style="0" customWidth="1"/>
    <col min="16" max="16" width="9.00390625" style="0" customWidth="1"/>
    <col min="18" max="18" width="9.00390625" style="0" customWidth="1"/>
    <col min="19" max="19" width="4.28125" style="0" customWidth="1"/>
    <col min="21" max="21" width="9.00390625" style="0" customWidth="1"/>
    <col min="23" max="23" width="9.00390625" style="0" customWidth="1"/>
    <col min="24" max="24" width="3.8515625" style="0" customWidth="1"/>
    <col min="29" max="29" width="4.140625" style="0" customWidth="1"/>
  </cols>
  <sheetData>
    <row r="1" spans="1:29" ht="12.75">
      <c r="A1" s="41" t="s">
        <v>72</v>
      </c>
      <c r="B1" s="27"/>
      <c r="C1" s="27"/>
      <c r="D1" s="27"/>
      <c r="E1" s="34"/>
      <c r="F1" s="35"/>
      <c r="G1" s="34"/>
      <c r="H1" s="35"/>
      <c r="I1" s="38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AC1" s="34"/>
    </row>
    <row r="2" spans="1:29" ht="12.75">
      <c r="A2" s="27" t="s">
        <v>479</v>
      </c>
      <c r="B2" s="27"/>
      <c r="C2" s="27"/>
      <c r="D2" s="27"/>
      <c r="E2" s="34"/>
      <c r="F2" s="35"/>
      <c r="G2" s="34"/>
      <c r="H2" s="35"/>
      <c r="I2" s="38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AC2" s="34"/>
    </row>
    <row r="3" spans="1:29" ht="12.75">
      <c r="A3" s="27" t="s">
        <v>20</v>
      </c>
      <c r="B3" s="27"/>
      <c r="C3" s="9" t="s">
        <v>129</v>
      </c>
      <c r="D3" s="9"/>
      <c r="E3" s="34"/>
      <c r="F3" s="35"/>
      <c r="G3" s="34"/>
      <c r="H3" s="35"/>
      <c r="I3" s="38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AC3" s="34"/>
    </row>
    <row r="4" spans="1:29" ht="12.75">
      <c r="A4" s="27" t="s">
        <v>21</v>
      </c>
      <c r="B4" s="27"/>
      <c r="C4" s="9" t="s">
        <v>195</v>
      </c>
      <c r="D4" s="9"/>
      <c r="E4" s="36"/>
      <c r="F4" s="37"/>
      <c r="G4" s="36"/>
      <c r="H4" s="37"/>
      <c r="I4" s="38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AC4" s="36"/>
    </row>
    <row r="5" spans="1:29" ht="12.75">
      <c r="A5" s="27" t="s">
        <v>22</v>
      </c>
      <c r="B5" s="27"/>
      <c r="C5" s="12" t="s">
        <v>196</v>
      </c>
      <c r="D5" s="12"/>
      <c r="E5" s="12"/>
      <c r="F5" s="12"/>
      <c r="G5" s="12"/>
      <c r="H5" s="12"/>
      <c r="I5" s="45"/>
      <c r="J5" s="12"/>
      <c r="K5" s="34"/>
      <c r="L5" s="12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AC5" s="34"/>
    </row>
    <row r="6" spans="1:29" ht="12.75">
      <c r="A6" s="27"/>
      <c r="B6" s="27"/>
      <c r="C6" s="29"/>
      <c r="D6" s="29"/>
      <c r="E6" s="38"/>
      <c r="F6" s="35"/>
      <c r="G6" s="38"/>
      <c r="H6" s="35"/>
      <c r="I6" s="38"/>
      <c r="J6" s="38"/>
      <c r="K6" s="34"/>
      <c r="L6" s="38"/>
      <c r="M6" s="34"/>
      <c r="N6" s="34"/>
      <c r="O6" s="38"/>
      <c r="P6" s="34"/>
      <c r="Q6" s="38"/>
      <c r="R6" s="34"/>
      <c r="S6" s="34"/>
      <c r="T6" s="38"/>
      <c r="U6" s="34"/>
      <c r="V6" s="38"/>
      <c r="W6" s="34"/>
      <c r="X6" s="34"/>
      <c r="AC6" s="34"/>
    </row>
    <row r="7" spans="1:33" s="88" customFormat="1" ht="12.75">
      <c r="A7" s="27"/>
      <c r="B7" s="27"/>
      <c r="C7" s="29" t="s">
        <v>23</v>
      </c>
      <c r="D7" s="29"/>
      <c r="E7" s="39" t="s">
        <v>54</v>
      </c>
      <c r="F7" s="39"/>
      <c r="G7" s="39"/>
      <c r="H7" s="39"/>
      <c r="I7" s="11"/>
      <c r="J7" s="39" t="s">
        <v>109</v>
      </c>
      <c r="K7" s="39"/>
      <c r="L7" s="39"/>
      <c r="M7" s="39"/>
      <c r="N7" s="11"/>
      <c r="O7" s="39" t="s">
        <v>55</v>
      </c>
      <c r="P7" s="39"/>
      <c r="Q7" s="39"/>
      <c r="R7" s="39"/>
      <c r="S7" s="11"/>
      <c r="T7" s="39" t="s">
        <v>164</v>
      </c>
      <c r="U7" s="39"/>
      <c r="V7" s="39"/>
      <c r="W7" s="39"/>
      <c r="X7" s="11"/>
      <c r="Y7" s="39" t="s">
        <v>165</v>
      </c>
      <c r="Z7" s="39"/>
      <c r="AA7" s="39"/>
      <c r="AB7" s="39"/>
      <c r="AC7" s="11"/>
      <c r="AD7" s="39" t="s">
        <v>266</v>
      </c>
      <c r="AE7" s="39"/>
      <c r="AF7" s="39"/>
      <c r="AG7" s="39"/>
    </row>
    <row r="8" spans="1:33" s="88" customFormat="1" ht="12.75">
      <c r="A8" s="27"/>
      <c r="B8" s="27"/>
      <c r="C8" s="29" t="s">
        <v>24</v>
      </c>
      <c r="D8" s="27"/>
      <c r="E8" s="38" t="s">
        <v>25</v>
      </c>
      <c r="F8" s="37" t="s">
        <v>26</v>
      </c>
      <c r="G8" s="38" t="s">
        <v>25</v>
      </c>
      <c r="H8" s="37" t="s">
        <v>26</v>
      </c>
      <c r="I8" s="38"/>
      <c r="J8" s="38" t="s">
        <v>25</v>
      </c>
      <c r="K8" s="38" t="s">
        <v>27</v>
      </c>
      <c r="L8" s="38" t="s">
        <v>25</v>
      </c>
      <c r="M8" s="38" t="s">
        <v>27</v>
      </c>
      <c r="N8" s="34"/>
      <c r="O8" s="38" t="s">
        <v>25</v>
      </c>
      <c r="P8" s="38" t="s">
        <v>27</v>
      </c>
      <c r="Q8" s="38" t="s">
        <v>25</v>
      </c>
      <c r="R8" s="38" t="s">
        <v>27</v>
      </c>
      <c r="S8" s="34"/>
      <c r="T8" s="38" t="s">
        <v>25</v>
      </c>
      <c r="U8" s="38" t="s">
        <v>27</v>
      </c>
      <c r="V8" s="38" t="s">
        <v>25</v>
      </c>
      <c r="W8" s="38" t="s">
        <v>27</v>
      </c>
      <c r="X8" s="34"/>
      <c r="Y8" s="38" t="s">
        <v>25</v>
      </c>
      <c r="Z8" s="38" t="s">
        <v>27</v>
      </c>
      <c r="AA8" s="38" t="s">
        <v>25</v>
      </c>
      <c r="AB8" s="38" t="s">
        <v>27</v>
      </c>
      <c r="AC8" s="34"/>
      <c r="AD8" s="38" t="s">
        <v>25</v>
      </c>
      <c r="AE8" s="38" t="s">
        <v>27</v>
      </c>
      <c r="AF8" s="38" t="s">
        <v>25</v>
      </c>
      <c r="AG8" s="38" t="s">
        <v>27</v>
      </c>
    </row>
    <row r="9" spans="1:33" s="88" customFormat="1" ht="12.75">
      <c r="A9" s="27"/>
      <c r="B9" s="27"/>
      <c r="C9" s="29"/>
      <c r="D9" s="27"/>
      <c r="E9" s="38" t="s">
        <v>343</v>
      </c>
      <c r="F9" s="38" t="s">
        <v>343</v>
      </c>
      <c r="G9" s="38" t="s">
        <v>71</v>
      </c>
      <c r="H9" s="37" t="s">
        <v>71</v>
      </c>
      <c r="I9" s="38"/>
      <c r="J9" s="38" t="s">
        <v>343</v>
      </c>
      <c r="K9" s="38" t="s">
        <v>343</v>
      </c>
      <c r="L9" s="38" t="s">
        <v>71</v>
      </c>
      <c r="M9" s="37" t="s">
        <v>71</v>
      </c>
      <c r="N9" s="34"/>
      <c r="O9" s="38" t="s">
        <v>343</v>
      </c>
      <c r="P9" s="38" t="s">
        <v>343</v>
      </c>
      <c r="Q9" s="38" t="s">
        <v>71</v>
      </c>
      <c r="R9" s="37" t="s">
        <v>71</v>
      </c>
      <c r="S9" s="34"/>
      <c r="T9" s="38" t="s">
        <v>343</v>
      </c>
      <c r="U9" s="38" t="s">
        <v>343</v>
      </c>
      <c r="V9" s="38" t="s">
        <v>71</v>
      </c>
      <c r="W9" s="37" t="s">
        <v>71</v>
      </c>
      <c r="X9" s="34"/>
      <c r="Y9" s="38" t="s">
        <v>343</v>
      </c>
      <c r="Z9" s="38" t="s">
        <v>343</v>
      </c>
      <c r="AA9" s="38" t="s">
        <v>71</v>
      </c>
      <c r="AB9" s="37" t="s">
        <v>71</v>
      </c>
      <c r="AC9" s="34"/>
      <c r="AD9" s="38" t="s">
        <v>343</v>
      </c>
      <c r="AE9" s="38" t="s">
        <v>343</v>
      </c>
      <c r="AF9" s="38" t="s">
        <v>71</v>
      </c>
      <c r="AG9" s="37" t="s">
        <v>71</v>
      </c>
    </row>
    <row r="10" spans="1:33" ht="12.75">
      <c r="A10" s="27" t="s">
        <v>103</v>
      </c>
      <c r="B10" s="27"/>
      <c r="C10" s="27"/>
      <c r="D10" s="27"/>
      <c r="E10" s="34"/>
      <c r="F10" s="35"/>
      <c r="G10" s="34"/>
      <c r="H10" s="35"/>
      <c r="I10" s="38"/>
      <c r="J10" s="34"/>
      <c r="K10" s="34"/>
      <c r="L10" s="34"/>
      <c r="M10" s="34"/>
      <c r="N10" s="34"/>
      <c r="O10" s="30"/>
      <c r="P10" s="34"/>
      <c r="Q10" s="34"/>
      <c r="R10" s="34"/>
      <c r="S10" s="34"/>
      <c r="T10" s="30"/>
      <c r="U10" s="34"/>
      <c r="V10" s="34"/>
      <c r="W10" s="34"/>
      <c r="X10" s="34"/>
      <c r="Y10" s="30"/>
      <c r="Z10" s="34"/>
      <c r="AA10" s="34"/>
      <c r="AB10" s="34"/>
      <c r="AC10" s="34"/>
      <c r="AD10" s="30"/>
      <c r="AE10" s="34"/>
      <c r="AF10" s="34"/>
      <c r="AG10" s="34"/>
    </row>
    <row r="11" spans="1:33" ht="12.75">
      <c r="A11" s="27"/>
      <c r="B11" s="27" t="s">
        <v>28</v>
      </c>
      <c r="C11" s="29">
        <v>1</v>
      </c>
      <c r="E11">
        <v>17.2</v>
      </c>
      <c r="F11" s="32">
        <f aca="true" t="shared" si="0" ref="F11:H35">IF(E11="","",E11*$C11)</f>
        <v>17.2</v>
      </c>
      <c r="G11" s="32">
        <f aca="true" t="shared" si="1" ref="G11:G35">IF(E11=0,"",IF(D11="nd",E11/2,E11))</f>
        <v>17.2</v>
      </c>
      <c r="H11" s="32">
        <f t="shared" si="0"/>
        <v>17.2</v>
      </c>
      <c r="I11"/>
      <c r="J11" s="34">
        <v>12.5</v>
      </c>
      <c r="K11" s="32">
        <f aca="true" t="shared" si="2" ref="K11:M35">IF(J11="","",J11*$C11)</f>
        <v>12.5</v>
      </c>
      <c r="L11" s="32">
        <f aca="true" t="shared" si="3" ref="L11:L35">IF(J11=0,"",IF(I11="nd",J11/2,J11))</f>
        <v>12.5</v>
      </c>
      <c r="M11" s="32">
        <f t="shared" si="2"/>
        <v>12.5</v>
      </c>
      <c r="O11" s="34">
        <v>10.5</v>
      </c>
      <c r="P11" s="40">
        <f aca="true" t="shared" si="4" ref="P11:R35">IF(O11="","",O11*$C11)</f>
        <v>10.5</v>
      </c>
      <c r="Q11" s="40">
        <f aca="true" t="shared" si="5" ref="Q11:Q35">IF(O11=0,"",IF(N11="nd",O11/2,O11))</f>
        <v>10.5</v>
      </c>
      <c r="R11" s="40">
        <f t="shared" si="4"/>
        <v>10.5</v>
      </c>
      <c r="S11" t="s">
        <v>102</v>
      </c>
      <c r="T11">
        <v>7.17</v>
      </c>
      <c r="U11" s="40">
        <f aca="true" t="shared" si="6" ref="U11:W35">IF(T11="","",T11*$C11)</f>
        <v>7.17</v>
      </c>
      <c r="V11" s="40">
        <f aca="true" t="shared" si="7" ref="V11:V35">IF(T11=0,"",IF(S11="nd",T11/2,T11))</f>
        <v>3.585</v>
      </c>
      <c r="W11" s="40">
        <f t="shared" si="6"/>
        <v>3.585</v>
      </c>
      <c r="Y11">
        <v>16.8</v>
      </c>
      <c r="Z11" s="40">
        <f aca="true" t="shared" si="8" ref="Z11:AB35">IF(Y11="","",Y11*$C11)</f>
        <v>16.8</v>
      </c>
      <c r="AA11" s="40">
        <f aca="true" t="shared" si="9" ref="AA11:AA35">IF(Y11=0,"",IF(X11="nd",Y11/2,Y11))</f>
        <v>16.8</v>
      </c>
      <c r="AB11" s="40">
        <f t="shared" si="8"/>
        <v>16.8</v>
      </c>
      <c r="AD11">
        <v>8.39</v>
      </c>
      <c r="AE11" s="40">
        <f aca="true" t="shared" si="10" ref="AE11:AG35">IF(AD11="","",AD11*$C11)</f>
        <v>8.39</v>
      </c>
      <c r="AF11" s="40">
        <f aca="true" t="shared" si="11" ref="AF11:AF35">IF(AD11=0,"",IF(AC11="nd",AD11/2,AD11))</f>
        <v>8.39</v>
      </c>
      <c r="AG11" s="40">
        <f t="shared" si="10"/>
        <v>8.39</v>
      </c>
    </row>
    <row r="12" spans="1:33" ht="12.75">
      <c r="A12" s="27"/>
      <c r="B12" s="27" t="s">
        <v>93</v>
      </c>
      <c r="C12" s="29">
        <v>0</v>
      </c>
      <c r="E12">
        <v>275</v>
      </c>
      <c r="F12" s="40">
        <f t="shared" si="0"/>
        <v>0</v>
      </c>
      <c r="G12" s="40">
        <f t="shared" si="1"/>
        <v>275</v>
      </c>
      <c r="H12" s="40">
        <f t="shared" si="0"/>
        <v>0</v>
      </c>
      <c r="I12"/>
      <c r="J12">
        <v>171</v>
      </c>
      <c r="K12" s="32">
        <f t="shared" si="2"/>
        <v>0</v>
      </c>
      <c r="L12" s="40">
        <f t="shared" si="3"/>
        <v>171</v>
      </c>
      <c r="M12" s="32">
        <f t="shared" si="2"/>
        <v>0</v>
      </c>
      <c r="O12">
        <v>115</v>
      </c>
      <c r="P12" s="40">
        <f t="shared" si="4"/>
        <v>0</v>
      </c>
      <c r="Q12" s="40">
        <f t="shared" si="5"/>
        <v>115</v>
      </c>
      <c r="R12" s="40">
        <f t="shared" si="4"/>
        <v>0</v>
      </c>
      <c r="T12">
        <v>60.1</v>
      </c>
      <c r="U12" s="40">
        <f t="shared" si="6"/>
        <v>0</v>
      </c>
      <c r="V12" s="40">
        <f t="shared" si="7"/>
        <v>60.1</v>
      </c>
      <c r="W12" s="40">
        <f t="shared" si="6"/>
        <v>0</v>
      </c>
      <c r="Y12">
        <v>293</v>
      </c>
      <c r="Z12" s="40">
        <f t="shared" si="8"/>
        <v>0</v>
      </c>
      <c r="AA12" s="40">
        <f t="shared" si="9"/>
        <v>293</v>
      </c>
      <c r="AB12" s="40">
        <f t="shared" si="8"/>
        <v>0</v>
      </c>
      <c r="AD12">
        <v>104</v>
      </c>
      <c r="AE12" s="40">
        <f t="shared" si="10"/>
        <v>0</v>
      </c>
      <c r="AF12" s="40">
        <f t="shared" si="11"/>
        <v>104</v>
      </c>
      <c r="AG12" s="40">
        <f t="shared" si="10"/>
        <v>0</v>
      </c>
    </row>
    <row r="13" spans="1:33" ht="12.75">
      <c r="A13" s="27"/>
      <c r="B13" s="27" t="s">
        <v>29</v>
      </c>
      <c r="C13" s="29">
        <v>0.5</v>
      </c>
      <c r="E13">
        <v>41.4</v>
      </c>
      <c r="F13" s="32">
        <f t="shared" si="0"/>
        <v>20.7</v>
      </c>
      <c r="G13" s="32">
        <f t="shared" si="1"/>
        <v>41.4</v>
      </c>
      <c r="H13" s="32">
        <f t="shared" si="0"/>
        <v>20.7</v>
      </c>
      <c r="I13"/>
      <c r="J13">
        <v>29.7</v>
      </c>
      <c r="K13" s="32">
        <f t="shared" si="2"/>
        <v>14.85</v>
      </c>
      <c r="L13" s="32">
        <f t="shared" si="3"/>
        <v>29.7</v>
      </c>
      <c r="M13" s="32">
        <f t="shared" si="2"/>
        <v>14.85</v>
      </c>
      <c r="O13">
        <v>17.4</v>
      </c>
      <c r="P13" s="40">
        <f t="shared" si="4"/>
        <v>8.7</v>
      </c>
      <c r="Q13" s="40">
        <f t="shared" si="5"/>
        <v>17.4</v>
      </c>
      <c r="R13" s="40">
        <f t="shared" si="4"/>
        <v>8.7</v>
      </c>
      <c r="S13" t="s">
        <v>102</v>
      </c>
      <c r="T13">
        <v>13.4</v>
      </c>
      <c r="U13" s="40">
        <f t="shared" si="6"/>
        <v>6.7</v>
      </c>
      <c r="V13" s="40">
        <f t="shared" si="7"/>
        <v>6.7</v>
      </c>
      <c r="W13" s="40">
        <f t="shared" si="6"/>
        <v>3.35</v>
      </c>
      <c r="X13" t="s">
        <v>102</v>
      </c>
      <c r="Y13">
        <v>48.5</v>
      </c>
      <c r="Z13" s="40">
        <f t="shared" si="8"/>
        <v>24.25</v>
      </c>
      <c r="AA13" s="40">
        <f t="shared" si="9"/>
        <v>24.25</v>
      </c>
      <c r="AB13" s="40">
        <f t="shared" si="8"/>
        <v>12.125</v>
      </c>
      <c r="AD13">
        <v>20</v>
      </c>
      <c r="AE13" s="40">
        <f t="shared" si="10"/>
        <v>10</v>
      </c>
      <c r="AF13" s="40">
        <f t="shared" si="11"/>
        <v>20</v>
      </c>
      <c r="AG13" s="40">
        <f t="shared" si="10"/>
        <v>10</v>
      </c>
    </row>
    <row r="14" spans="1:33" ht="12.75">
      <c r="A14" s="27"/>
      <c r="B14" s="27" t="s">
        <v>94</v>
      </c>
      <c r="C14" s="29">
        <v>0</v>
      </c>
      <c r="E14">
        <v>390</v>
      </c>
      <c r="F14" s="40">
        <f t="shared" si="0"/>
        <v>0</v>
      </c>
      <c r="G14" s="40">
        <f t="shared" si="1"/>
        <v>390</v>
      </c>
      <c r="H14" s="40">
        <f t="shared" si="0"/>
        <v>0</v>
      </c>
      <c r="I14"/>
      <c r="J14">
        <v>215</v>
      </c>
      <c r="K14" s="32">
        <f t="shared" si="2"/>
        <v>0</v>
      </c>
      <c r="L14" s="40">
        <f t="shared" si="3"/>
        <v>215</v>
      </c>
      <c r="M14" s="32">
        <f t="shared" si="2"/>
        <v>0</v>
      </c>
      <c r="O14">
        <v>127</v>
      </c>
      <c r="P14" s="40">
        <f t="shared" si="4"/>
        <v>0</v>
      </c>
      <c r="Q14" s="40">
        <f t="shared" si="5"/>
        <v>127</v>
      </c>
      <c r="R14" s="40">
        <f t="shared" si="4"/>
        <v>0</v>
      </c>
      <c r="T14">
        <v>119</v>
      </c>
      <c r="U14" s="40">
        <f t="shared" si="6"/>
        <v>0</v>
      </c>
      <c r="V14" s="40">
        <f t="shared" si="7"/>
        <v>119</v>
      </c>
      <c r="W14" s="40">
        <f t="shared" si="6"/>
        <v>0</v>
      </c>
      <c r="Y14">
        <v>342</v>
      </c>
      <c r="Z14" s="40">
        <f t="shared" si="8"/>
        <v>0</v>
      </c>
      <c r="AA14" s="40">
        <f t="shared" si="9"/>
        <v>342</v>
      </c>
      <c r="AB14" s="40">
        <f t="shared" si="8"/>
        <v>0</v>
      </c>
      <c r="AD14">
        <v>129</v>
      </c>
      <c r="AE14" s="40">
        <f t="shared" si="10"/>
        <v>0</v>
      </c>
      <c r="AF14" s="40">
        <f t="shared" si="11"/>
        <v>129</v>
      </c>
      <c r="AG14" s="40">
        <f t="shared" si="10"/>
        <v>0</v>
      </c>
    </row>
    <row r="15" spans="1:33" ht="12.75">
      <c r="A15" s="27"/>
      <c r="B15" s="27" t="s">
        <v>30</v>
      </c>
      <c r="C15" s="29">
        <v>0.1</v>
      </c>
      <c r="E15">
        <v>27.9</v>
      </c>
      <c r="F15" s="32">
        <f t="shared" si="0"/>
        <v>2.79</v>
      </c>
      <c r="G15" s="32">
        <f t="shared" si="1"/>
        <v>27.9</v>
      </c>
      <c r="H15" s="32">
        <f t="shared" si="0"/>
        <v>2.79</v>
      </c>
      <c r="I15"/>
      <c r="J15">
        <v>22.8</v>
      </c>
      <c r="K15" s="32">
        <f t="shared" si="2"/>
        <v>2.2800000000000002</v>
      </c>
      <c r="L15" s="32">
        <f t="shared" si="3"/>
        <v>22.8</v>
      </c>
      <c r="M15" s="32">
        <f t="shared" si="2"/>
        <v>2.2800000000000002</v>
      </c>
      <c r="O15">
        <v>11.7</v>
      </c>
      <c r="P15" s="40">
        <f t="shared" si="4"/>
        <v>1.17</v>
      </c>
      <c r="Q15" s="40">
        <f t="shared" si="5"/>
        <v>11.7</v>
      </c>
      <c r="R15" s="40">
        <f t="shared" si="4"/>
        <v>1.17</v>
      </c>
      <c r="T15">
        <v>13.5</v>
      </c>
      <c r="U15" s="40">
        <f t="shared" si="6"/>
        <v>1.35</v>
      </c>
      <c r="V15" s="40">
        <f t="shared" si="7"/>
        <v>13.5</v>
      </c>
      <c r="W15" s="40">
        <f t="shared" si="6"/>
        <v>1.35</v>
      </c>
      <c r="Y15">
        <v>28.5</v>
      </c>
      <c r="Z15" s="40">
        <f t="shared" si="8"/>
        <v>2.85</v>
      </c>
      <c r="AA15" s="40">
        <f t="shared" si="9"/>
        <v>28.5</v>
      </c>
      <c r="AB15" s="40">
        <f t="shared" si="8"/>
        <v>2.85</v>
      </c>
      <c r="AC15" t="s">
        <v>102</v>
      </c>
      <c r="AD15">
        <v>14.4</v>
      </c>
      <c r="AE15" s="40">
        <f t="shared" si="10"/>
        <v>1.4400000000000002</v>
      </c>
      <c r="AF15" s="40">
        <f t="shared" si="11"/>
        <v>7.2</v>
      </c>
      <c r="AG15" s="40">
        <f t="shared" si="10"/>
        <v>0.7200000000000001</v>
      </c>
    </row>
    <row r="16" spans="1:33" ht="12.75">
      <c r="A16" s="27"/>
      <c r="B16" s="27" t="s">
        <v>31</v>
      </c>
      <c r="C16" s="29">
        <v>0.1</v>
      </c>
      <c r="E16">
        <v>40.8</v>
      </c>
      <c r="F16" s="32">
        <f t="shared" si="0"/>
        <v>4.08</v>
      </c>
      <c r="G16" s="32">
        <f t="shared" si="1"/>
        <v>40.8</v>
      </c>
      <c r="H16" s="32">
        <f t="shared" si="0"/>
        <v>4.08</v>
      </c>
      <c r="I16"/>
      <c r="J16">
        <v>32</v>
      </c>
      <c r="K16" s="32">
        <f t="shared" si="2"/>
        <v>3.2</v>
      </c>
      <c r="L16" s="32">
        <f t="shared" si="3"/>
        <v>32</v>
      </c>
      <c r="M16" s="32">
        <f t="shared" si="2"/>
        <v>3.2</v>
      </c>
      <c r="O16">
        <v>13.6</v>
      </c>
      <c r="P16" s="40">
        <f t="shared" si="4"/>
        <v>1.36</v>
      </c>
      <c r="Q16" s="40">
        <f t="shared" si="5"/>
        <v>13.6</v>
      </c>
      <c r="R16" s="40">
        <f t="shared" si="4"/>
        <v>1.36</v>
      </c>
      <c r="T16">
        <v>18.9</v>
      </c>
      <c r="U16" s="40">
        <f t="shared" si="6"/>
        <v>1.89</v>
      </c>
      <c r="V16" s="40">
        <f t="shared" si="7"/>
        <v>18.9</v>
      </c>
      <c r="W16" s="40">
        <f t="shared" si="6"/>
        <v>1.89</v>
      </c>
      <c r="Y16">
        <v>38.2</v>
      </c>
      <c r="Z16" s="40">
        <f t="shared" si="8"/>
        <v>3.8200000000000003</v>
      </c>
      <c r="AA16" s="40">
        <f t="shared" si="9"/>
        <v>38.2</v>
      </c>
      <c r="AB16" s="40">
        <f t="shared" si="8"/>
        <v>3.8200000000000003</v>
      </c>
      <c r="AC16" t="s">
        <v>102</v>
      </c>
      <c r="AD16">
        <v>14.5</v>
      </c>
      <c r="AE16" s="40">
        <f t="shared" si="10"/>
        <v>1.4500000000000002</v>
      </c>
      <c r="AF16" s="40">
        <f t="shared" si="11"/>
        <v>7.25</v>
      </c>
      <c r="AG16" s="40">
        <f t="shared" si="10"/>
        <v>0.7250000000000001</v>
      </c>
    </row>
    <row r="17" spans="1:33" ht="12.75">
      <c r="A17" s="27"/>
      <c r="B17" s="27" t="s">
        <v>32</v>
      </c>
      <c r="C17" s="29">
        <v>0.1</v>
      </c>
      <c r="E17">
        <v>27.7</v>
      </c>
      <c r="F17" s="32">
        <f t="shared" si="0"/>
        <v>2.77</v>
      </c>
      <c r="G17" s="32">
        <f t="shared" si="1"/>
        <v>27.7</v>
      </c>
      <c r="H17" s="32">
        <f t="shared" si="0"/>
        <v>2.77</v>
      </c>
      <c r="I17"/>
      <c r="J17">
        <v>20.7</v>
      </c>
      <c r="K17" s="32">
        <f t="shared" si="2"/>
        <v>2.07</v>
      </c>
      <c r="L17" s="32">
        <f t="shared" si="3"/>
        <v>20.7</v>
      </c>
      <c r="M17" s="32">
        <f t="shared" si="2"/>
        <v>2.07</v>
      </c>
      <c r="O17">
        <v>9.76</v>
      </c>
      <c r="P17" s="40">
        <f t="shared" si="4"/>
        <v>0.976</v>
      </c>
      <c r="Q17" s="40">
        <f t="shared" si="5"/>
        <v>9.76</v>
      </c>
      <c r="R17" s="40">
        <f t="shared" si="4"/>
        <v>0.976</v>
      </c>
      <c r="S17" t="s">
        <v>102</v>
      </c>
      <c r="T17">
        <v>9.44</v>
      </c>
      <c r="U17" s="40">
        <f t="shared" si="6"/>
        <v>0.944</v>
      </c>
      <c r="V17" s="40">
        <f t="shared" si="7"/>
        <v>4.72</v>
      </c>
      <c r="W17" s="40">
        <f t="shared" si="6"/>
        <v>0.472</v>
      </c>
      <c r="Y17">
        <v>25.4</v>
      </c>
      <c r="Z17" s="40">
        <f t="shared" si="8"/>
        <v>2.54</v>
      </c>
      <c r="AA17" s="40">
        <f t="shared" si="9"/>
        <v>25.4</v>
      </c>
      <c r="AB17" s="40">
        <f t="shared" si="8"/>
        <v>2.54</v>
      </c>
      <c r="AC17" t="s">
        <v>102</v>
      </c>
      <c r="AD17">
        <v>14.3</v>
      </c>
      <c r="AE17" s="40">
        <f t="shared" si="10"/>
        <v>1.4300000000000002</v>
      </c>
      <c r="AF17" s="40">
        <f t="shared" si="11"/>
        <v>7.15</v>
      </c>
      <c r="AG17" s="40">
        <f t="shared" si="10"/>
        <v>0.7150000000000001</v>
      </c>
    </row>
    <row r="18" spans="1:33" ht="12.75">
      <c r="A18" s="27"/>
      <c r="B18" s="27" t="s">
        <v>95</v>
      </c>
      <c r="C18" s="29">
        <v>0</v>
      </c>
      <c r="E18">
        <v>453</v>
      </c>
      <c r="F18" s="40">
        <f t="shared" si="0"/>
        <v>0</v>
      </c>
      <c r="G18" s="40">
        <f t="shared" si="1"/>
        <v>453</v>
      </c>
      <c r="H18" s="40">
        <f t="shared" si="0"/>
        <v>0</v>
      </c>
      <c r="I18"/>
      <c r="J18">
        <v>288</v>
      </c>
      <c r="K18" s="32">
        <f t="shared" si="2"/>
        <v>0</v>
      </c>
      <c r="L18" s="40">
        <f t="shared" si="3"/>
        <v>288</v>
      </c>
      <c r="M18" s="32">
        <f t="shared" si="2"/>
        <v>0</v>
      </c>
      <c r="O18">
        <v>135</v>
      </c>
      <c r="P18" s="40">
        <f t="shared" si="4"/>
        <v>0</v>
      </c>
      <c r="Q18" s="40">
        <f t="shared" si="5"/>
        <v>135</v>
      </c>
      <c r="R18" s="40">
        <f t="shared" si="4"/>
        <v>0</v>
      </c>
      <c r="T18">
        <v>153</v>
      </c>
      <c r="U18" s="40">
        <f t="shared" si="6"/>
        <v>0</v>
      </c>
      <c r="V18" s="40">
        <f t="shared" si="7"/>
        <v>153</v>
      </c>
      <c r="W18" s="40">
        <f t="shared" si="6"/>
        <v>0</v>
      </c>
      <c r="Y18">
        <v>397</v>
      </c>
      <c r="Z18" s="40">
        <f t="shared" si="8"/>
        <v>0</v>
      </c>
      <c r="AA18" s="40">
        <f t="shared" si="9"/>
        <v>397</v>
      </c>
      <c r="AB18" s="40">
        <f t="shared" si="8"/>
        <v>0</v>
      </c>
      <c r="AD18">
        <v>125</v>
      </c>
      <c r="AE18" s="40">
        <f t="shared" si="10"/>
        <v>0</v>
      </c>
      <c r="AF18" s="40">
        <f t="shared" si="11"/>
        <v>125</v>
      </c>
      <c r="AG18" s="40">
        <f t="shared" si="10"/>
        <v>0</v>
      </c>
    </row>
    <row r="19" spans="1:33" ht="12.75">
      <c r="A19" s="27"/>
      <c r="B19" s="27" t="s">
        <v>33</v>
      </c>
      <c r="C19" s="29">
        <v>0.01</v>
      </c>
      <c r="E19">
        <v>133</v>
      </c>
      <c r="F19" s="32">
        <f t="shared" si="0"/>
        <v>1.33</v>
      </c>
      <c r="G19" s="32">
        <f t="shared" si="1"/>
        <v>133</v>
      </c>
      <c r="H19" s="32">
        <f t="shared" si="0"/>
        <v>1.33</v>
      </c>
      <c r="I19"/>
      <c r="J19">
        <v>149</v>
      </c>
      <c r="K19" s="32">
        <f t="shared" si="2"/>
        <v>1.49</v>
      </c>
      <c r="L19" s="32">
        <f t="shared" si="3"/>
        <v>149</v>
      </c>
      <c r="M19" s="32">
        <f t="shared" si="2"/>
        <v>1.49</v>
      </c>
      <c r="O19">
        <v>40.9</v>
      </c>
      <c r="P19" s="40">
        <f t="shared" si="4"/>
        <v>0.409</v>
      </c>
      <c r="Q19" s="40">
        <f t="shared" si="5"/>
        <v>40.9</v>
      </c>
      <c r="R19" s="40">
        <f t="shared" si="4"/>
        <v>0.409</v>
      </c>
      <c r="T19">
        <v>68.4</v>
      </c>
      <c r="U19" s="40">
        <f t="shared" si="6"/>
        <v>0.684</v>
      </c>
      <c r="V19" s="40">
        <f t="shared" si="7"/>
        <v>68.4</v>
      </c>
      <c r="W19" s="40">
        <f t="shared" si="6"/>
        <v>0.684</v>
      </c>
      <c r="Y19">
        <v>112</v>
      </c>
      <c r="Z19" s="40">
        <f t="shared" si="8"/>
        <v>1.12</v>
      </c>
      <c r="AA19" s="40">
        <f t="shared" si="9"/>
        <v>112</v>
      </c>
      <c r="AB19" s="40">
        <f t="shared" si="8"/>
        <v>1.12</v>
      </c>
      <c r="AD19">
        <v>63</v>
      </c>
      <c r="AE19" s="40">
        <f t="shared" si="10"/>
        <v>0.63</v>
      </c>
      <c r="AF19" s="40">
        <f t="shared" si="11"/>
        <v>63</v>
      </c>
      <c r="AG19" s="40">
        <f t="shared" si="10"/>
        <v>0.63</v>
      </c>
    </row>
    <row r="20" spans="1:33" ht="12.75">
      <c r="A20" s="27"/>
      <c r="B20" s="27" t="s">
        <v>96</v>
      </c>
      <c r="C20" s="29">
        <v>0</v>
      </c>
      <c r="E20">
        <v>280</v>
      </c>
      <c r="F20" s="40">
        <f t="shared" si="0"/>
        <v>0</v>
      </c>
      <c r="G20" s="40">
        <f t="shared" si="1"/>
        <v>280</v>
      </c>
      <c r="H20" s="40">
        <f t="shared" si="0"/>
        <v>0</v>
      </c>
      <c r="I20"/>
      <c r="J20">
        <v>289</v>
      </c>
      <c r="K20" s="32">
        <f t="shared" si="2"/>
        <v>0</v>
      </c>
      <c r="L20" s="40">
        <f t="shared" si="3"/>
        <v>289</v>
      </c>
      <c r="M20" s="32">
        <f t="shared" si="2"/>
        <v>0</v>
      </c>
      <c r="O20">
        <v>85.3</v>
      </c>
      <c r="P20" s="40">
        <f t="shared" si="4"/>
        <v>0</v>
      </c>
      <c r="Q20" s="40">
        <f t="shared" si="5"/>
        <v>85.3</v>
      </c>
      <c r="R20" s="40">
        <f t="shared" si="4"/>
        <v>0</v>
      </c>
      <c r="T20">
        <v>145</v>
      </c>
      <c r="U20" s="40">
        <f t="shared" si="6"/>
        <v>0</v>
      </c>
      <c r="V20" s="40">
        <f t="shared" si="7"/>
        <v>145</v>
      </c>
      <c r="W20" s="40">
        <f t="shared" si="6"/>
        <v>0</v>
      </c>
      <c r="Y20">
        <v>231</v>
      </c>
      <c r="Z20" s="40">
        <f t="shared" si="8"/>
        <v>0</v>
      </c>
      <c r="AA20" s="40">
        <f t="shared" si="9"/>
        <v>231</v>
      </c>
      <c r="AB20" s="40">
        <f t="shared" si="8"/>
        <v>0</v>
      </c>
      <c r="AD20">
        <v>131</v>
      </c>
      <c r="AE20" s="40">
        <f t="shared" si="10"/>
        <v>0</v>
      </c>
      <c r="AF20" s="40">
        <f t="shared" si="11"/>
        <v>131</v>
      </c>
      <c r="AG20" s="40">
        <f t="shared" si="10"/>
        <v>0</v>
      </c>
    </row>
    <row r="21" spans="1:33" ht="12.75">
      <c r="A21" s="27"/>
      <c r="B21" s="27" t="s">
        <v>34</v>
      </c>
      <c r="C21" s="29">
        <v>0.001</v>
      </c>
      <c r="E21">
        <v>390</v>
      </c>
      <c r="F21" s="32">
        <f t="shared" si="0"/>
        <v>0.39</v>
      </c>
      <c r="G21" s="32">
        <f t="shared" si="1"/>
        <v>390</v>
      </c>
      <c r="H21" s="32">
        <f t="shared" si="0"/>
        <v>0.39</v>
      </c>
      <c r="I21"/>
      <c r="J21">
        <v>321</v>
      </c>
      <c r="K21" s="32">
        <f t="shared" si="2"/>
        <v>0.321</v>
      </c>
      <c r="L21" s="40">
        <f t="shared" si="3"/>
        <v>321</v>
      </c>
      <c r="M21" s="32">
        <f t="shared" si="2"/>
        <v>0.321</v>
      </c>
      <c r="O21">
        <v>123</v>
      </c>
      <c r="P21" s="40">
        <f t="shared" si="4"/>
        <v>0.123</v>
      </c>
      <c r="Q21" s="40">
        <f t="shared" si="5"/>
        <v>123</v>
      </c>
      <c r="R21" s="40">
        <f t="shared" si="4"/>
        <v>0.123</v>
      </c>
      <c r="T21">
        <v>219</v>
      </c>
      <c r="U21" s="40">
        <f t="shared" si="6"/>
        <v>0.219</v>
      </c>
      <c r="V21" s="40">
        <f t="shared" si="7"/>
        <v>219</v>
      </c>
      <c r="W21" s="40">
        <f t="shared" si="6"/>
        <v>0.219</v>
      </c>
      <c r="Y21">
        <v>245</v>
      </c>
      <c r="Z21" s="40">
        <f t="shared" si="8"/>
        <v>0.245</v>
      </c>
      <c r="AA21" s="40">
        <f t="shared" si="9"/>
        <v>245</v>
      </c>
      <c r="AB21" s="40">
        <f t="shared" si="8"/>
        <v>0.245</v>
      </c>
      <c r="AD21">
        <v>211</v>
      </c>
      <c r="AE21" s="40">
        <f t="shared" si="10"/>
        <v>0.211</v>
      </c>
      <c r="AF21" s="40">
        <f t="shared" si="11"/>
        <v>211</v>
      </c>
      <c r="AG21" s="40">
        <f t="shared" si="10"/>
        <v>0.211</v>
      </c>
    </row>
    <row r="22" spans="1:33" ht="12.75">
      <c r="A22" s="27"/>
      <c r="B22" s="27" t="s">
        <v>35</v>
      </c>
      <c r="C22" s="29">
        <v>0.1</v>
      </c>
      <c r="E22">
        <v>76.9</v>
      </c>
      <c r="F22" s="32">
        <f t="shared" si="0"/>
        <v>7.690000000000001</v>
      </c>
      <c r="G22" s="32">
        <f t="shared" si="1"/>
        <v>76.9</v>
      </c>
      <c r="H22" s="32">
        <f t="shared" si="0"/>
        <v>7.690000000000001</v>
      </c>
      <c r="I22"/>
      <c r="J22">
        <v>70.9</v>
      </c>
      <c r="K22" s="32">
        <f t="shared" si="2"/>
        <v>7.090000000000001</v>
      </c>
      <c r="L22" s="40">
        <f t="shared" si="3"/>
        <v>70.9</v>
      </c>
      <c r="M22" s="32">
        <f t="shared" si="2"/>
        <v>7.090000000000001</v>
      </c>
      <c r="O22">
        <v>49.2</v>
      </c>
      <c r="P22" s="40">
        <f t="shared" si="4"/>
        <v>4.920000000000001</v>
      </c>
      <c r="Q22" s="40">
        <f t="shared" si="5"/>
        <v>49.2</v>
      </c>
      <c r="R22" s="40">
        <f t="shared" si="4"/>
        <v>4.920000000000001</v>
      </c>
      <c r="T22">
        <v>32.4</v>
      </c>
      <c r="U22" s="40">
        <f t="shared" si="6"/>
        <v>3.24</v>
      </c>
      <c r="V22" s="40">
        <f t="shared" si="7"/>
        <v>32.4</v>
      </c>
      <c r="W22" s="40">
        <f t="shared" si="6"/>
        <v>3.24</v>
      </c>
      <c r="Y22">
        <v>70.6</v>
      </c>
      <c r="Z22" s="40">
        <f t="shared" si="8"/>
        <v>7.06</v>
      </c>
      <c r="AA22" s="40">
        <f t="shared" si="9"/>
        <v>70.6</v>
      </c>
      <c r="AB22" s="40">
        <f t="shared" si="8"/>
        <v>7.06</v>
      </c>
      <c r="AD22">
        <v>37.4</v>
      </c>
      <c r="AE22" s="40">
        <f t="shared" si="10"/>
        <v>3.74</v>
      </c>
      <c r="AF22" s="40">
        <f t="shared" si="11"/>
        <v>37.4</v>
      </c>
      <c r="AG22" s="40">
        <f t="shared" si="10"/>
        <v>3.74</v>
      </c>
    </row>
    <row r="23" spans="1:33" ht="12.75">
      <c r="A23" s="27"/>
      <c r="B23" s="27" t="s">
        <v>97</v>
      </c>
      <c r="C23" s="29">
        <v>0</v>
      </c>
      <c r="E23">
        <v>4210</v>
      </c>
      <c r="F23" s="40">
        <f t="shared" si="0"/>
        <v>0</v>
      </c>
      <c r="G23" s="40">
        <f t="shared" si="1"/>
        <v>4210</v>
      </c>
      <c r="H23" s="40">
        <f t="shared" si="0"/>
        <v>0</v>
      </c>
      <c r="I23"/>
      <c r="J23">
        <v>3680</v>
      </c>
      <c r="K23" s="32">
        <f t="shared" si="2"/>
        <v>0</v>
      </c>
      <c r="L23" s="40">
        <f t="shared" si="3"/>
        <v>3680</v>
      </c>
      <c r="M23" s="32">
        <f t="shared" si="2"/>
        <v>0</v>
      </c>
      <c r="O23">
        <v>2570</v>
      </c>
      <c r="P23" s="40">
        <f t="shared" si="4"/>
        <v>0</v>
      </c>
      <c r="Q23" s="40">
        <f t="shared" si="5"/>
        <v>2570</v>
      </c>
      <c r="R23" s="40">
        <f t="shared" si="4"/>
        <v>0</v>
      </c>
      <c r="T23">
        <v>1860</v>
      </c>
      <c r="U23" s="40">
        <f t="shared" si="6"/>
        <v>0</v>
      </c>
      <c r="V23" s="40">
        <f t="shared" si="7"/>
        <v>1860</v>
      </c>
      <c r="W23" s="40">
        <f t="shared" si="6"/>
        <v>0</v>
      </c>
      <c r="Y23">
        <v>3990</v>
      </c>
      <c r="Z23" s="40">
        <f t="shared" si="8"/>
        <v>0</v>
      </c>
      <c r="AA23" s="40">
        <f t="shared" si="9"/>
        <v>3990</v>
      </c>
      <c r="AB23" s="40">
        <f t="shared" si="8"/>
        <v>0</v>
      </c>
      <c r="AD23">
        <v>1810</v>
      </c>
      <c r="AE23" s="40">
        <f t="shared" si="10"/>
        <v>0</v>
      </c>
      <c r="AF23" s="40">
        <f t="shared" si="11"/>
        <v>1810</v>
      </c>
      <c r="AG23" s="40">
        <f t="shared" si="10"/>
        <v>0</v>
      </c>
    </row>
    <row r="24" spans="1:33" ht="12.75">
      <c r="A24" s="27"/>
      <c r="B24" s="27" t="s">
        <v>36</v>
      </c>
      <c r="C24" s="29">
        <v>0.05</v>
      </c>
      <c r="E24">
        <v>174</v>
      </c>
      <c r="F24" s="32">
        <f t="shared" si="0"/>
        <v>8.700000000000001</v>
      </c>
      <c r="G24" s="40">
        <f t="shared" si="1"/>
        <v>174</v>
      </c>
      <c r="H24" s="32">
        <f t="shared" si="0"/>
        <v>8.700000000000001</v>
      </c>
      <c r="I24"/>
      <c r="J24">
        <v>167</v>
      </c>
      <c r="K24" s="32">
        <f t="shared" si="2"/>
        <v>8.35</v>
      </c>
      <c r="L24" s="40">
        <f t="shared" si="3"/>
        <v>167</v>
      </c>
      <c r="M24" s="32">
        <f t="shared" si="2"/>
        <v>8.35</v>
      </c>
      <c r="O24">
        <v>88.6</v>
      </c>
      <c r="P24" s="40">
        <f t="shared" si="4"/>
        <v>4.43</v>
      </c>
      <c r="Q24" s="40">
        <f t="shared" si="5"/>
        <v>88.6</v>
      </c>
      <c r="R24" s="40">
        <f t="shared" si="4"/>
        <v>4.43</v>
      </c>
      <c r="T24">
        <v>71.7</v>
      </c>
      <c r="U24" s="40">
        <f t="shared" si="6"/>
        <v>3.5850000000000004</v>
      </c>
      <c r="V24" s="40">
        <f t="shared" si="7"/>
        <v>71.7</v>
      </c>
      <c r="W24" s="40">
        <f t="shared" si="6"/>
        <v>3.5850000000000004</v>
      </c>
      <c r="Y24">
        <v>179</v>
      </c>
      <c r="Z24" s="40">
        <f t="shared" si="8"/>
        <v>8.950000000000001</v>
      </c>
      <c r="AA24" s="40">
        <f t="shared" si="9"/>
        <v>179</v>
      </c>
      <c r="AB24" s="40">
        <f t="shared" si="8"/>
        <v>8.950000000000001</v>
      </c>
      <c r="AD24">
        <v>75</v>
      </c>
      <c r="AE24" s="40">
        <f t="shared" si="10"/>
        <v>3.75</v>
      </c>
      <c r="AF24" s="40">
        <f t="shared" si="11"/>
        <v>75</v>
      </c>
      <c r="AG24" s="40">
        <f t="shared" si="10"/>
        <v>3.75</v>
      </c>
    </row>
    <row r="25" spans="1:33" ht="12.75">
      <c r="A25" s="27"/>
      <c r="B25" s="27" t="s">
        <v>37</v>
      </c>
      <c r="C25" s="29">
        <v>0.5</v>
      </c>
      <c r="E25">
        <v>161</v>
      </c>
      <c r="F25" s="40">
        <f t="shared" si="0"/>
        <v>80.5</v>
      </c>
      <c r="G25" s="40">
        <f t="shared" si="1"/>
        <v>161</v>
      </c>
      <c r="H25" s="40">
        <f t="shared" si="0"/>
        <v>80.5</v>
      </c>
      <c r="I25"/>
      <c r="J25">
        <v>129</v>
      </c>
      <c r="K25" s="32">
        <f t="shared" si="2"/>
        <v>64.5</v>
      </c>
      <c r="L25" s="40">
        <f t="shared" si="3"/>
        <v>129</v>
      </c>
      <c r="M25" s="32">
        <f t="shared" si="2"/>
        <v>64.5</v>
      </c>
      <c r="O25">
        <v>72.9</v>
      </c>
      <c r="P25" s="40">
        <f t="shared" si="4"/>
        <v>36.45</v>
      </c>
      <c r="Q25" s="40">
        <f t="shared" si="5"/>
        <v>72.9</v>
      </c>
      <c r="R25" s="40">
        <f t="shared" si="4"/>
        <v>36.45</v>
      </c>
      <c r="T25">
        <v>69.2</v>
      </c>
      <c r="U25" s="40">
        <f t="shared" si="6"/>
        <v>34.6</v>
      </c>
      <c r="V25" s="40">
        <f t="shared" si="7"/>
        <v>69.2</v>
      </c>
      <c r="W25" s="40">
        <f t="shared" si="6"/>
        <v>34.6</v>
      </c>
      <c r="Y25">
        <v>157</v>
      </c>
      <c r="Z25" s="40">
        <f t="shared" si="8"/>
        <v>78.5</v>
      </c>
      <c r="AA25" s="40">
        <f t="shared" si="9"/>
        <v>157</v>
      </c>
      <c r="AB25" s="40">
        <f t="shared" si="8"/>
        <v>78.5</v>
      </c>
      <c r="AD25">
        <v>65.3</v>
      </c>
      <c r="AE25" s="40">
        <f t="shared" si="10"/>
        <v>32.65</v>
      </c>
      <c r="AF25" s="40">
        <f t="shared" si="11"/>
        <v>65.3</v>
      </c>
      <c r="AG25" s="40">
        <f t="shared" si="10"/>
        <v>32.65</v>
      </c>
    </row>
    <row r="26" spans="1:33" ht="12.75">
      <c r="A26" s="27"/>
      <c r="B26" s="27" t="s">
        <v>98</v>
      </c>
      <c r="C26" s="29">
        <v>0</v>
      </c>
      <c r="E26">
        <v>3750</v>
      </c>
      <c r="F26" s="40">
        <f t="shared" si="0"/>
        <v>0</v>
      </c>
      <c r="G26" s="40">
        <f t="shared" si="1"/>
        <v>3750</v>
      </c>
      <c r="H26" s="40">
        <f t="shared" si="0"/>
        <v>0</v>
      </c>
      <c r="I26"/>
      <c r="J26">
        <v>3150</v>
      </c>
      <c r="K26" s="32">
        <f t="shared" si="2"/>
        <v>0</v>
      </c>
      <c r="L26" s="40">
        <f t="shared" si="3"/>
        <v>3150</v>
      </c>
      <c r="M26" s="32">
        <f t="shared" si="2"/>
        <v>0</v>
      </c>
      <c r="O26">
        <v>1740</v>
      </c>
      <c r="P26" s="40">
        <f t="shared" si="4"/>
        <v>0</v>
      </c>
      <c r="Q26" s="40">
        <f t="shared" si="5"/>
        <v>1740</v>
      </c>
      <c r="R26" s="40">
        <f t="shared" si="4"/>
        <v>0</v>
      </c>
      <c r="T26">
        <v>1610</v>
      </c>
      <c r="U26" s="40">
        <f t="shared" si="6"/>
        <v>0</v>
      </c>
      <c r="V26" s="40">
        <f t="shared" si="7"/>
        <v>1610</v>
      </c>
      <c r="W26" s="40">
        <f t="shared" si="6"/>
        <v>0</v>
      </c>
      <c r="Y26">
        <v>3760</v>
      </c>
      <c r="Z26" s="40">
        <f t="shared" si="8"/>
        <v>0</v>
      </c>
      <c r="AA26" s="40">
        <f t="shared" si="9"/>
        <v>3760</v>
      </c>
      <c r="AB26" s="40">
        <f t="shared" si="8"/>
        <v>0</v>
      </c>
      <c r="AD26">
        <v>1430</v>
      </c>
      <c r="AE26" s="40">
        <f t="shared" si="10"/>
        <v>0</v>
      </c>
      <c r="AF26" s="40">
        <f t="shared" si="11"/>
        <v>1430</v>
      </c>
      <c r="AG26" s="40">
        <f t="shared" si="10"/>
        <v>0</v>
      </c>
    </row>
    <row r="27" spans="1:33" ht="12.75">
      <c r="A27" s="27"/>
      <c r="B27" s="27" t="s">
        <v>38</v>
      </c>
      <c r="C27" s="29">
        <v>0.1</v>
      </c>
      <c r="E27">
        <v>333</v>
      </c>
      <c r="F27" s="40">
        <f t="shared" si="0"/>
        <v>33.300000000000004</v>
      </c>
      <c r="G27" s="40">
        <f t="shared" si="1"/>
        <v>333</v>
      </c>
      <c r="H27" s="40">
        <f t="shared" si="0"/>
        <v>33.300000000000004</v>
      </c>
      <c r="I27"/>
      <c r="J27">
        <v>477</v>
      </c>
      <c r="K27" s="32">
        <f t="shared" si="2"/>
        <v>47.7</v>
      </c>
      <c r="L27" s="40">
        <f t="shared" si="3"/>
        <v>477</v>
      </c>
      <c r="M27" s="32">
        <f t="shared" si="2"/>
        <v>47.7</v>
      </c>
      <c r="O27">
        <v>122</v>
      </c>
      <c r="P27" s="40">
        <f t="shared" si="4"/>
        <v>12.200000000000001</v>
      </c>
      <c r="Q27" s="40">
        <f t="shared" si="5"/>
        <v>122</v>
      </c>
      <c r="R27" s="40">
        <f t="shared" si="4"/>
        <v>12.200000000000001</v>
      </c>
      <c r="T27">
        <v>142</v>
      </c>
      <c r="U27" s="40">
        <f t="shared" si="6"/>
        <v>14.200000000000001</v>
      </c>
      <c r="V27" s="40">
        <f t="shared" si="7"/>
        <v>142</v>
      </c>
      <c r="W27" s="40">
        <f t="shared" si="6"/>
        <v>14.200000000000001</v>
      </c>
      <c r="Y27">
        <v>319</v>
      </c>
      <c r="Z27" s="40">
        <f t="shared" si="8"/>
        <v>31.900000000000002</v>
      </c>
      <c r="AA27" s="40">
        <f t="shared" si="9"/>
        <v>319</v>
      </c>
      <c r="AB27" s="40">
        <f t="shared" si="8"/>
        <v>31.900000000000002</v>
      </c>
      <c r="AD27">
        <v>122</v>
      </c>
      <c r="AE27" s="40">
        <f t="shared" si="10"/>
        <v>12.200000000000001</v>
      </c>
      <c r="AF27" s="40">
        <f t="shared" si="11"/>
        <v>122</v>
      </c>
      <c r="AG27" s="40">
        <f t="shared" si="10"/>
        <v>12.200000000000001</v>
      </c>
    </row>
    <row r="28" spans="1:33" ht="12.75">
      <c r="A28" s="27"/>
      <c r="B28" s="27" t="s">
        <v>39</v>
      </c>
      <c r="C28" s="29">
        <v>0.1</v>
      </c>
      <c r="E28">
        <v>296</v>
      </c>
      <c r="F28" s="40">
        <f t="shared" si="0"/>
        <v>29.6</v>
      </c>
      <c r="G28" s="40">
        <f t="shared" si="1"/>
        <v>296</v>
      </c>
      <c r="H28" s="40">
        <f t="shared" si="0"/>
        <v>29.6</v>
      </c>
      <c r="I28"/>
      <c r="J28">
        <v>322</v>
      </c>
      <c r="K28" s="32">
        <f t="shared" si="2"/>
        <v>32.2</v>
      </c>
      <c r="L28" s="40">
        <f t="shared" si="3"/>
        <v>322</v>
      </c>
      <c r="M28" s="32">
        <f t="shared" si="2"/>
        <v>32.2</v>
      </c>
      <c r="O28">
        <v>110</v>
      </c>
      <c r="P28" s="40">
        <f t="shared" si="4"/>
        <v>11</v>
      </c>
      <c r="Q28" s="40">
        <f t="shared" si="5"/>
        <v>110</v>
      </c>
      <c r="R28" s="40">
        <f t="shared" si="4"/>
        <v>11</v>
      </c>
      <c r="T28">
        <v>116</v>
      </c>
      <c r="U28" s="40">
        <f t="shared" si="6"/>
        <v>11.600000000000001</v>
      </c>
      <c r="V28" s="40">
        <f t="shared" si="7"/>
        <v>116</v>
      </c>
      <c r="W28" s="40">
        <f t="shared" si="6"/>
        <v>11.600000000000001</v>
      </c>
      <c r="Y28">
        <v>287</v>
      </c>
      <c r="Z28" s="40">
        <f t="shared" si="8"/>
        <v>28.700000000000003</v>
      </c>
      <c r="AA28" s="40">
        <f t="shared" si="9"/>
        <v>287</v>
      </c>
      <c r="AB28" s="40">
        <f t="shared" si="8"/>
        <v>28.700000000000003</v>
      </c>
      <c r="AD28">
        <v>105</v>
      </c>
      <c r="AE28" s="40">
        <f t="shared" si="10"/>
        <v>10.5</v>
      </c>
      <c r="AF28" s="40">
        <f t="shared" si="11"/>
        <v>105</v>
      </c>
      <c r="AG28" s="40">
        <f t="shared" si="10"/>
        <v>10.5</v>
      </c>
    </row>
    <row r="29" spans="1:33" ht="12.75">
      <c r="A29" s="27"/>
      <c r="B29" s="27" t="s">
        <v>40</v>
      </c>
      <c r="C29" s="29">
        <v>0.1</v>
      </c>
      <c r="E29">
        <v>268</v>
      </c>
      <c r="F29" s="40">
        <f t="shared" si="0"/>
        <v>26.8</v>
      </c>
      <c r="G29" s="40">
        <f t="shared" si="1"/>
        <v>268</v>
      </c>
      <c r="H29" s="40">
        <f t="shared" si="0"/>
        <v>26.8</v>
      </c>
      <c r="I29"/>
      <c r="J29">
        <v>309</v>
      </c>
      <c r="K29" s="32">
        <f t="shared" si="2"/>
        <v>30.900000000000002</v>
      </c>
      <c r="L29" s="40">
        <f t="shared" si="3"/>
        <v>309</v>
      </c>
      <c r="M29" s="32">
        <f t="shared" si="2"/>
        <v>30.900000000000002</v>
      </c>
      <c r="O29">
        <v>82.3</v>
      </c>
      <c r="P29" s="40">
        <f t="shared" si="4"/>
        <v>8.23</v>
      </c>
      <c r="Q29" s="40">
        <f t="shared" si="5"/>
        <v>82.3</v>
      </c>
      <c r="R29" s="40">
        <f t="shared" si="4"/>
        <v>8.23</v>
      </c>
      <c r="T29">
        <v>116</v>
      </c>
      <c r="U29" s="40">
        <f t="shared" si="6"/>
        <v>11.600000000000001</v>
      </c>
      <c r="V29" s="40">
        <f t="shared" si="7"/>
        <v>116</v>
      </c>
      <c r="W29" s="40">
        <f t="shared" si="6"/>
        <v>11.600000000000001</v>
      </c>
      <c r="Y29">
        <v>235</v>
      </c>
      <c r="Z29" s="40">
        <f t="shared" si="8"/>
        <v>23.5</v>
      </c>
      <c r="AA29" s="40">
        <f t="shared" si="9"/>
        <v>235</v>
      </c>
      <c r="AB29" s="40">
        <f t="shared" si="8"/>
        <v>23.5</v>
      </c>
      <c r="AD29">
        <v>89.3</v>
      </c>
      <c r="AE29" s="40">
        <f t="shared" si="10"/>
        <v>8.93</v>
      </c>
      <c r="AF29" s="40">
        <f t="shared" si="11"/>
        <v>89.3</v>
      </c>
      <c r="AG29" s="40">
        <f t="shared" si="10"/>
        <v>8.93</v>
      </c>
    </row>
    <row r="30" spans="1:33" ht="12.75">
      <c r="A30" s="27"/>
      <c r="B30" s="27" t="s">
        <v>41</v>
      </c>
      <c r="C30" s="29">
        <v>0.1</v>
      </c>
      <c r="E30">
        <v>62</v>
      </c>
      <c r="F30" s="40">
        <f t="shared" si="0"/>
        <v>6.2</v>
      </c>
      <c r="G30" s="40">
        <f t="shared" si="1"/>
        <v>62</v>
      </c>
      <c r="H30" s="40">
        <f t="shared" si="0"/>
        <v>6.2</v>
      </c>
      <c r="I30"/>
      <c r="J30">
        <v>110</v>
      </c>
      <c r="K30" s="32">
        <f t="shared" si="2"/>
        <v>11</v>
      </c>
      <c r="L30" s="40">
        <f t="shared" si="3"/>
        <v>110</v>
      </c>
      <c r="M30" s="32">
        <f t="shared" si="2"/>
        <v>11</v>
      </c>
      <c r="O30">
        <v>27.5</v>
      </c>
      <c r="P30" s="40">
        <f t="shared" si="4"/>
        <v>2.75</v>
      </c>
      <c r="Q30" s="40">
        <f t="shared" si="5"/>
        <v>27.5</v>
      </c>
      <c r="R30" s="40">
        <f t="shared" si="4"/>
        <v>2.75</v>
      </c>
      <c r="T30">
        <v>32.3</v>
      </c>
      <c r="U30" s="40">
        <f t="shared" si="6"/>
        <v>3.23</v>
      </c>
      <c r="V30" s="40">
        <f t="shared" si="7"/>
        <v>32.3</v>
      </c>
      <c r="W30" s="40">
        <f t="shared" si="6"/>
        <v>3.23</v>
      </c>
      <c r="Y30">
        <v>61.8</v>
      </c>
      <c r="Z30" s="40">
        <f t="shared" si="8"/>
        <v>6.18</v>
      </c>
      <c r="AA30" s="40">
        <f t="shared" si="9"/>
        <v>61.8</v>
      </c>
      <c r="AB30" s="40">
        <f t="shared" si="8"/>
        <v>6.18</v>
      </c>
      <c r="AC30" t="s">
        <v>102</v>
      </c>
      <c r="AD30">
        <v>14.4</v>
      </c>
      <c r="AE30" s="40">
        <f t="shared" si="10"/>
        <v>1.4400000000000002</v>
      </c>
      <c r="AF30" s="40">
        <f t="shared" si="11"/>
        <v>7.2</v>
      </c>
      <c r="AG30" s="40">
        <f t="shared" si="10"/>
        <v>0.7200000000000001</v>
      </c>
    </row>
    <row r="31" spans="1:33" ht="12.75">
      <c r="A31" s="27"/>
      <c r="B31" s="27" t="s">
        <v>99</v>
      </c>
      <c r="C31" s="29">
        <v>0</v>
      </c>
      <c r="E31">
        <v>3330</v>
      </c>
      <c r="F31" s="40">
        <f t="shared" si="0"/>
        <v>0</v>
      </c>
      <c r="G31" s="40">
        <f t="shared" si="1"/>
        <v>3330</v>
      </c>
      <c r="H31" s="40">
        <f t="shared" si="0"/>
        <v>0</v>
      </c>
      <c r="I31"/>
      <c r="J31">
        <v>3720</v>
      </c>
      <c r="K31" s="32">
        <f t="shared" si="2"/>
        <v>0</v>
      </c>
      <c r="L31" s="40">
        <f t="shared" si="3"/>
        <v>3720</v>
      </c>
      <c r="M31" s="32">
        <f t="shared" si="2"/>
        <v>0</v>
      </c>
      <c r="O31">
        <v>1170</v>
      </c>
      <c r="P31" s="40">
        <f t="shared" si="4"/>
        <v>0</v>
      </c>
      <c r="Q31" s="40">
        <f t="shared" si="5"/>
        <v>1170</v>
      </c>
      <c r="R31" s="40">
        <f t="shared" si="4"/>
        <v>0</v>
      </c>
      <c r="T31">
        <v>1430</v>
      </c>
      <c r="U31" s="40">
        <f t="shared" si="6"/>
        <v>0</v>
      </c>
      <c r="V31" s="40">
        <f t="shared" si="7"/>
        <v>1430</v>
      </c>
      <c r="W31" s="40">
        <f t="shared" si="6"/>
        <v>0</v>
      </c>
      <c r="Y31">
        <v>3110</v>
      </c>
      <c r="Z31" s="40">
        <f t="shared" si="8"/>
        <v>0</v>
      </c>
      <c r="AA31" s="40">
        <f t="shared" si="9"/>
        <v>3110</v>
      </c>
      <c r="AB31" s="40">
        <f t="shared" si="8"/>
        <v>0</v>
      </c>
      <c r="AD31">
        <v>1130</v>
      </c>
      <c r="AE31" s="40">
        <f t="shared" si="10"/>
        <v>0</v>
      </c>
      <c r="AF31" s="40">
        <f t="shared" si="11"/>
        <v>1130</v>
      </c>
      <c r="AG31" s="40">
        <f t="shared" si="10"/>
        <v>0</v>
      </c>
    </row>
    <row r="32" spans="1:33" ht="12.75">
      <c r="A32" s="27"/>
      <c r="B32" s="27" t="s">
        <v>42</v>
      </c>
      <c r="C32" s="29">
        <v>0.01</v>
      </c>
      <c r="E32">
        <v>1100</v>
      </c>
      <c r="F32" s="40">
        <f t="shared" si="0"/>
        <v>11</v>
      </c>
      <c r="G32" s="40">
        <f t="shared" si="1"/>
        <v>1100</v>
      </c>
      <c r="H32" s="40">
        <f t="shared" si="0"/>
        <v>11</v>
      </c>
      <c r="I32"/>
      <c r="J32">
        <v>2150</v>
      </c>
      <c r="K32" s="32">
        <f t="shared" si="2"/>
        <v>21.5</v>
      </c>
      <c r="L32" s="40">
        <f t="shared" si="3"/>
        <v>2150</v>
      </c>
      <c r="M32" s="32">
        <f t="shared" si="2"/>
        <v>21.5</v>
      </c>
      <c r="O32">
        <v>331</v>
      </c>
      <c r="P32" s="40">
        <f t="shared" si="4"/>
        <v>3.31</v>
      </c>
      <c r="Q32" s="40">
        <f t="shared" si="5"/>
        <v>331</v>
      </c>
      <c r="R32" s="40">
        <f t="shared" si="4"/>
        <v>3.31</v>
      </c>
      <c r="T32">
        <v>482</v>
      </c>
      <c r="U32" s="40">
        <f t="shared" si="6"/>
        <v>4.82</v>
      </c>
      <c r="V32" s="40">
        <f t="shared" si="7"/>
        <v>482</v>
      </c>
      <c r="W32" s="40">
        <f t="shared" si="6"/>
        <v>4.82</v>
      </c>
      <c r="Y32">
        <v>983</v>
      </c>
      <c r="Z32" s="40">
        <f t="shared" si="8"/>
        <v>9.83</v>
      </c>
      <c r="AA32" s="40">
        <f t="shared" si="9"/>
        <v>983</v>
      </c>
      <c r="AB32" s="40">
        <f t="shared" si="8"/>
        <v>9.83</v>
      </c>
      <c r="AD32">
        <v>337</v>
      </c>
      <c r="AE32" s="40">
        <f t="shared" si="10"/>
        <v>3.37</v>
      </c>
      <c r="AF32" s="40">
        <f t="shared" si="11"/>
        <v>337</v>
      </c>
      <c r="AG32" s="40">
        <f t="shared" si="10"/>
        <v>3.37</v>
      </c>
    </row>
    <row r="33" spans="1:33" ht="12.75">
      <c r="A33" s="27"/>
      <c r="B33" s="27" t="s">
        <v>43</v>
      </c>
      <c r="C33" s="29">
        <v>0.01</v>
      </c>
      <c r="E33">
        <v>118</v>
      </c>
      <c r="F33" s="32">
        <f t="shared" si="0"/>
        <v>1.18</v>
      </c>
      <c r="G33" s="40">
        <f t="shared" si="1"/>
        <v>118</v>
      </c>
      <c r="H33" s="32">
        <f t="shared" si="0"/>
        <v>1.18</v>
      </c>
      <c r="I33"/>
      <c r="J33">
        <v>597</v>
      </c>
      <c r="K33" s="32">
        <f t="shared" si="2"/>
        <v>5.97</v>
      </c>
      <c r="L33" s="40">
        <f t="shared" si="3"/>
        <v>597</v>
      </c>
      <c r="M33" s="32">
        <f t="shared" si="2"/>
        <v>5.97</v>
      </c>
      <c r="O33">
        <v>39.5</v>
      </c>
      <c r="P33" s="40">
        <f t="shared" si="4"/>
        <v>0.395</v>
      </c>
      <c r="Q33" s="40">
        <f t="shared" si="5"/>
        <v>39.5</v>
      </c>
      <c r="R33" s="40">
        <f t="shared" si="4"/>
        <v>0.395</v>
      </c>
      <c r="T33">
        <v>72.2</v>
      </c>
      <c r="U33" s="40">
        <f t="shared" si="6"/>
        <v>0.7220000000000001</v>
      </c>
      <c r="V33" s="40">
        <f t="shared" si="7"/>
        <v>72.2</v>
      </c>
      <c r="W33" s="40">
        <f t="shared" si="6"/>
        <v>0.7220000000000001</v>
      </c>
      <c r="Y33">
        <v>148</v>
      </c>
      <c r="Z33" s="40">
        <f t="shared" si="8"/>
        <v>1.48</v>
      </c>
      <c r="AA33" s="40">
        <f t="shared" si="9"/>
        <v>148</v>
      </c>
      <c r="AB33" s="40">
        <f t="shared" si="8"/>
        <v>1.48</v>
      </c>
      <c r="AD33">
        <v>43.1</v>
      </c>
      <c r="AE33" s="40">
        <f t="shared" si="10"/>
        <v>0.43100000000000005</v>
      </c>
      <c r="AF33" s="40">
        <f t="shared" si="11"/>
        <v>43.1</v>
      </c>
      <c r="AG33" s="40">
        <f t="shared" si="10"/>
        <v>0.43100000000000005</v>
      </c>
    </row>
    <row r="34" spans="1:33" ht="12.75">
      <c r="A34" s="27"/>
      <c r="B34" s="27" t="s">
        <v>100</v>
      </c>
      <c r="C34" s="29">
        <v>0</v>
      </c>
      <c r="E34">
        <v>1700</v>
      </c>
      <c r="F34" s="40">
        <f t="shared" si="0"/>
        <v>0</v>
      </c>
      <c r="G34" s="40">
        <f t="shared" si="1"/>
        <v>1700</v>
      </c>
      <c r="H34" s="40">
        <f t="shared" si="0"/>
        <v>0</v>
      </c>
      <c r="I34"/>
      <c r="J34">
        <v>4690</v>
      </c>
      <c r="K34" s="32">
        <f t="shared" si="2"/>
        <v>0</v>
      </c>
      <c r="L34" s="40">
        <f t="shared" si="3"/>
        <v>4690</v>
      </c>
      <c r="M34" s="32">
        <f t="shared" si="2"/>
        <v>0</v>
      </c>
      <c r="O34">
        <v>518</v>
      </c>
      <c r="P34" s="40">
        <f t="shared" si="4"/>
        <v>0</v>
      </c>
      <c r="Q34" s="40">
        <f t="shared" si="5"/>
        <v>518</v>
      </c>
      <c r="R34" s="40">
        <f t="shared" si="4"/>
        <v>0</v>
      </c>
      <c r="T34">
        <v>722</v>
      </c>
      <c r="U34" s="40">
        <f t="shared" si="6"/>
        <v>0</v>
      </c>
      <c r="V34" s="40">
        <f t="shared" si="7"/>
        <v>722</v>
      </c>
      <c r="W34" s="40">
        <f t="shared" si="6"/>
        <v>0</v>
      </c>
      <c r="Y34">
        <v>1630</v>
      </c>
      <c r="Z34" s="40">
        <f t="shared" si="8"/>
        <v>0</v>
      </c>
      <c r="AA34" s="40">
        <f t="shared" si="9"/>
        <v>1630</v>
      </c>
      <c r="AB34" s="40">
        <f t="shared" si="8"/>
        <v>0</v>
      </c>
      <c r="AD34">
        <v>534</v>
      </c>
      <c r="AE34" s="40">
        <f t="shared" si="10"/>
        <v>0</v>
      </c>
      <c r="AF34" s="40">
        <f t="shared" si="11"/>
        <v>534</v>
      </c>
      <c r="AG34" s="40">
        <f t="shared" si="10"/>
        <v>0</v>
      </c>
    </row>
    <row r="35" spans="1:33" ht="12.75">
      <c r="A35" s="27"/>
      <c r="B35" s="27" t="s">
        <v>44</v>
      </c>
      <c r="C35" s="29">
        <v>0.001</v>
      </c>
      <c r="E35">
        <v>421</v>
      </c>
      <c r="F35" s="32">
        <f t="shared" si="0"/>
        <v>0.421</v>
      </c>
      <c r="G35" s="40">
        <f t="shared" si="1"/>
        <v>421</v>
      </c>
      <c r="H35" s="32">
        <f t="shared" si="0"/>
        <v>0.421</v>
      </c>
      <c r="I35"/>
      <c r="J35">
        <v>3190</v>
      </c>
      <c r="K35" s="32">
        <f t="shared" si="2"/>
        <v>3.19</v>
      </c>
      <c r="L35" s="40">
        <f t="shared" si="3"/>
        <v>3190</v>
      </c>
      <c r="M35" s="32">
        <f t="shared" si="2"/>
        <v>3.19</v>
      </c>
      <c r="O35">
        <v>132</v>
      </c>
      <c r="P35" s="40">
        <f t="shared" si="4"/>
        <v>0.132</v>
      </c>
      <c r="Q35" s="40">
        <f t="shared" si="5"/>
        <v>132</v>
      </c>
      <c r="R35" s="40">
        <f t="shared" si="4"/>
        <v>0.132</v>
      </c>
      <c r="T35">
        <v>304</v>
      </c>
      <c r="U35" s="40">
        <f t="shared" si="6"/>
        <v>0.304</v>
      </c>
      <c r="V35" s="40">
        <f t="shared" si="7"/>
        <v>304</v>
      </c>
      <c r="W35" s="40">
        <f t="shared" si="6"/>
        <v>0.304</v>
      </c>
      <c r="Y35">
        <v>532</v>
      </c>
      <c r="Z35" s="40">
        <f t="shared" si="8"/>
        <v>0.532</v>
      </c>
      <c r="AA35" s="40">
        <f t="shared" si="9"/>
        <v>532</v>
      </c>
      <c r="AB35" s="40">
        <f t="shared" si="8"/>
        <v>0.532</v>
      </c>
      <c r="AD35">
        <v>147</v>
      </c>
      <c r="AE35" s="40">
        <f t="shared" si="10"/>
        <v>0.147</v>
      </c>
      <c r="AF35" s="40">
        <f t="shared" si="11"/>
        <v>147</v>
      </c>
      <c r="AG35" s="40">
        <f t="shared" si="10"/>
        <v>0.147</v>
      </c>
    </row>
    <row r="36" spans="1:33" ht="12.75">
      <c r="A36" s="27"/>
      <c r="B36" s="27"/>
      <c r="C36" s="27"/>
      <c r="D36" s="27"/>
      <c r="E36" s="32"/>
      <c r="F36" s="35"/>
      <c r="G36" s="32"/>
      <c r="H36" s="35"/>
      <c r="I36" s="51"/>
      <c r="J36" s="12"/>
      <c r="K36" s="30"/>
      <c r="L36" s="30"/>
      <c r="M36" s="30"/>
      <c r="N36" s="32"/>
      <c r="O36" s="12"/>
      <c r="P36" s="34"/>
      <c r="Q36" s="32"/>
      <c r="R36" s="34"/>
      <c r="S36" s="32"/>
      <c r="T36" s="12"/>
      <c r="U36" s="34"/>
      <c r="V36" s="32"/>
      <c r="W36" s="34"/>
      <c r="X36" s="32"/>
      <c r="Y36" s="12"/>
      <c r="Z36" s="34"/>
      <c r="AA36" s="32"/>
      <c r="AB36" s="34"/>
      <c r="AC36" s="32"/>
      <c r="AD36" s="12"/>
      <c r="AE36" s="34"/>
      <c r="AF36" s="32"/>
      <c r="AG36" s="34"/>
    </row>
    <row r="37" spans="1:33" ht="12.75">
      <c r="A37" s="27"/>
      <c r="B37" s="27" t="s">
        <v>45</v>
      </c>
      <c r="C37" s="27"/>
      <c r="D37" s="27"/>
      <c r="E37" s="32"/>
      <c r="F37">
        <f>H37</f>
        <v>168.269</v>
      </c>
      <c r="G37">
        <v>168.269</v>
      </c>
      <c r="H37">
        <f>G37</f>
        <v>168.269</v>
      </c>
      <c r="I37"/>
      <c r="K37">
        <f>M37</f>
        <v>180.435</v>
      </c>
      <c r="L37">
        <v>180.435</v>
      </c>
      <c r="M37">
        <f>L37</f>
        <v>180.435</v>
      </c>
      <c r="P37">
        <f>R37</f>
        <v>181.983</v>
      </c>
      <c r="Q37">
        <v>181.983</v>
      </c>
      <c r="R37">
        <f>Q37</f>
        <v>181.983</v>
      </c>
      <c r="S37" s="32"/>
      <c r="U37">
        <f>W37</f>
        <v>161.171</v>
      </c>
      <c r="V37">
        <v>161.171</v>
      </c>
      <c r="W37" s="81">
        <f>V37</f>
        <v>161.171</v>
      </c>
      <c r="X37" s="32"/>
      <c r="Z37">
        <f>AB37</f>
        <v>164.805</v>
      </c>
      <c r="AA37">
        <v>164.805</v>
      </c>
      <c r="AB37" s="81">
        <f>AA37</f>
        <v>164.805</v>
      </c>
      <c r="AC37" s="32"/>
      <c r="AE37">
        <f>AG37</f>
        <v>163.153</v>
      </c>
      <c r="AF37">
        <v>163.153</v>
      </c>
      <c r="AG37" s="81">
        <f>AF37</f>
        <v>163.153</v>
      </c>
    </row>
    <row r="38" spans="1:33" ht="12.75">
      <c r="A38" s="27"/>
      <c r="B38" s="27" t="s">
        <v>60</v>
      </c>
      <c r="C38" s="27"/>
      <c r="D38" s="27"/>
      <c r="E38" s="32"/>
      <c r="F38">
        <f>H38</f>
        <v>16.2</v>
      </c>
      <c r="G38">
        <v>16.2</v>
      </c>
      <c r="H38">
        <f>G38</f>
        <v>16.2</v>
      </c>
      <c r="I38"/>
      <c r="K38">
        <f>M38</f>
        <v>15.9</v>
      </c>
      <c r="L38">
        <v>15.9</v>
      </c>
      <c r="M38">
        <f>L38</f>
        <v>15.9</v>
      </c>
      <c r="P38">
        <f>R38</f>
        <v>15.9</v>
      </c>
      <c r="Q38">
        <v>15.9</v>
      </c>
      <c r="R38">
        <f>Q38</f>
        <v>15.9</v>
      </c>
      <c r="S38" s="32"/>
      <c r="U38">
        <f>W38</f>
        <v>15.6</v>
      </c>
      <c r="V38">
        <v>15.6</v>
      </c>
      <c r="W38">
        <f>V38</f>
        <v>15.6</v>
      </c>
      <c r="X38" s="32"/>
      <c r="Z38">
        <f>AB38</f>
        <v>15.6</v>
      </c>
      <c r="AA38">
        <v>15.6</v>
      </c>
      <c r="AB38">
        <f>AA38</f>
        <v>15.6</v>
      </c>
      <c r="AC38" s="32"/>
      <c r="AE38">
        <f>AG38</f>
        <v>15.5</v>
      </c>
      <c r="AF38">
        <v>15.5</v>
      </c>
      <c r="AG38">
        <f>AF38</f>
        <v>15.5</v>
      </c>
    </row>
    <row r="39" spans="1:33" ht="12.75">
      <c r="A39" s="27"/>
      <c r="B39" s="27"/>
      <c r="C39" s="27"/>
      <c r="D39" s="27"/>
      <c r="E39" s="32"/>
      <c r="F39" s="12"/>
      <c r="G39" s="32"/>
      <c r="H39" s="12"/>
      <c r="I39" s="45"/>
      <c r="J39" s="32"/>
      <c r="K39" s="33"/>
      <c r="L39" s="30"/>
      <c r="M39" s="33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</row>
    <row r="40" spans="1:33" ht="12.75">
      <c r="A40" s="27"/>
      <c r="B40" s="27" t="s">
        <v>101</v>
      </c>
      <c r="C40" s="35"/>
      <c r="D40" s="35"/>
      <c r="E40" s="30"/>
      <c r="F40" s="31">
        <f>SUM(F11:F35)/1000</f>
        <v>0.254651</v>
      </c>
      <c r="G40" s="30">
        <f>SUM(G35,G34,G31,G26,G23,G21,G20,G18,G14,G12)/1000</f>
        <v>15.199</v>
      </c>
      <c r="H40" s="31">
        <f>SUM(H11:H35)/1000</f>
        <v>0.254651</v>
      </c>
      <c r="I40" s="37"/>
      <c r="J40" s="30"/>
      <c r="K40" s="31">
        <f>SUM(K11:K35)/1000</f>
        <v>0.26911100000000004</v>
      </c>
      <c r="L40" s="30">
        <f>SUM(L35,L34,L31,L26,L23,L21,L20,L18,L14,L12)/1000</f>
        <v>19.714</v>
      </c>
      <c r="M40" s="31">
        <f>SUM(M11:M35)/1000</f>
        <v>0.26911100000000004</v>
      </c>
      <c r="N40" s="35"/>
      <c r="O40" s="32"/>
      <c r="P40" s="32">
        <f>SUM(P11:P35)/1000</f>
        <v>0.10705500000000001</v>
      </c>
      <c r="Q40" s="30">
        <f>SUM(Q35,Q34,Q31,Q26,Q23,Q21,Q20,Q18,Q14,Q12)/1000</f>
        <v>6.7153</v>
      </c>
      <c r="R40" s="32">
        <f>SUM(R11:R35)/1000</f>
        <v>0.10705500000000001</v>
      </c>
      <c r="S40" s="35"/>
      <c r="T40" s="32"/>
      <c r="U40" s="32">
        <f>SUM(U11:U35)/1000</f>
        <v>0.10685800000000002</v>
      </c>
      <c r="V40" s="30">
        <f>SUM(V35,V34,V31,V26,V23,V21,V20,V18,V14,V12)/1000</f>
        <v>6.6221000000000005</v>
      </c>
      <c r="W40" s="32">
        <f>SUM(W11:W35)/1000</f>
        <v>0.09945100000000001</v>
      </c>
      <c r="X40" s="35"/>
      <c r="Y40" s="32"/>
      <c r="Z40" s="32">
        <f>SUM(Z11:Z35)/1000</f>
        <v>0.24825700000000003</v>
      </c>
      <c r="AA40" s="30">
        <f>SUM(AA35,AA34,AA31,AA26,AA23,AA21,AA20,AA18,AA14,AA12)/1000</f>
        <v>14.53</v>
      </c>
      <c r="AB40" s="32">
        <f>SUM(AB11:AB35)/1000</f>
        <v>0.23613200000000004</v>
      </c>
      <c r="AC40" s="35"/>
      <c r="AD40" s="32"/>
      <c r="AE40" s="32">
        <f>SUM(AE11:AE35)/1000</f>
        <v>0.100709</v>
      </c>
      <c r="AF40" s="30">
        <f>SUM(AF35,AF34,AF31,AF26,AF23,AF21,AF20,AF18,AF14,AF12)/1000</f>
        <v>5.751</v>
      </c>
      <c r="AG40" s="32">
        <f>SUM(AG11:AG35)/1000</f>
        <v>0.09782900000000001</v>
      </c>
    </row>
    <row r="41" spans="1:33" ht="12.75">
      <c r="A41" s="27"/>
      <c r="B41" s="27" t="s">
        <v>46</v>
      </c>
      <c r="C41" s="35"/>
      <c r="D41" s="30">
        <f>(F41-H41)*2/F41*100</f>
        <v>0</v>
      </c>
      <c r="E41" s="32"/>
      <c r="F41" s="35">
        <f>F40/F37/0.0283*(21-7)/(21-F38)</f>
        <v>0.15597020212342846</v>
      </c>
      <c r="G41" s="32">
        <f>(G40/G37/0.0283*(21-7)/(21-G38))</f>
        <v>9.309176488896524</v>
      </c>
      <c r="H41" s="35">
        <f>H40/H37/0.0283*(21-7)/(21-H38)</f>
        <v>0.15597020212342846</v>
      </c>
      <c r="I41" s="30">
        <f>(K41-M41)*2/K41*100</f>
        <v>0</v>
      </c>
      <c r="J41" s="32"/>
      <c r="K41" s="35">
        <f>K40/K37/0.0283*(21-7)/(21-K38)</f>
        <v>0.1446712021196856</v>
      </c>
      <c r="L41" s="32">
        <f>(L40/L37/0.0283*(21-7)/(21-L38))</f>
        <v>10.59803604678917</v>
      </c>
      <c r="M41" s="35">
        <f>M40/M37/0.0283*(21-7)/(21-M38)</f>
        <v>0.1446712021196856</v>
      </c>
      <c r="N41" s="30">
        <f>(P41-R41)*2/P41*100</f>
        <v>0</v>
      </c>
      <c r="O41" s="32"/>
      <c r="P41" s="35">
        <f>P40/P37/0.0283*(21-7)/(21-P38)</f>
        <v>0.05706207493350015</v>
      </c>
      <c r="Q41" s="32">
        <f>(Q40/Q37/0.0283*(21-7)/(21-Q38))</f>
        <v>3.579365296351721</v>
      </c>
      <c r="R41" s="35">
        <f>R40/R37/0.0283*(21-7)/(21-R38)</f>
        <v>0.05706207493350015</v>
      </c>
      <c r="S41" s="30">
        <f>(U41-W41)*2/U41*100</f>
        <v>13.863257781354674</v>
      </c>
      <c r="T41" s="32"/>
      <c r="U41" s="32">
        <f>U40/U37/0.0283*(21-7)/(21-U38)</f>
        <v>0.060739048083723136</v>
      </c>
      <c r="V41" s="32">
        <f>(V40/V37/0.0283*(21-7)/(21-V38))</f>
        <v>3.764061186951122</v>
      </c>
      <c r="W41" s="32">
        <f>W40/W37/0.0283*(21-7)/(21-W38)</f>
        <v>0.056528842678829384</v>
      </c>
      <c r="X41" s="30">
        <f>(Z41-AB41)*2/Z41*100</f>
        <v>9.768103215619291</v>
      </c>
      <c r="Y41" s="32"/>
      <c r="Z41" s="32">
        <f>Z40/Z37/0.0283*(21-7)/(21-Z38)</f>
        <v>0.1379999597466798</v>
      </c>
      <c r="AA41" s="32">
        <f>(AA40/AA37/0.0283*(21-7)/(21-AA38))</f>
        <v>8.07686959529543</v>
      </c>
      <c r="AB41" s="32">
        <f>AB40/AB37/0.0283*(21-7)/(21-AB38)</f>
        <v>0.13125997049389543</v>
      </c>
      <c r="AC41" s="30">
        <f>(AE41-AG41)*2/AE41*100</f>
        <v>5.7194491058396215</v>
      </c>
      <c r="AD41" s="32"/>
      <c r="AE41" s="32">
        <f>AE40/AE37/0.0283*(21-7)/(21-AE38)</f>
        <v>0.055520341713585</v>
      </c>
      <c r="AF41" s="32">
        <f>(AF40/AF37/0.0283*(21-7)/(21-AF38))</f>
        <v>3.1704960350596996</v>
      </c>
      <c r="AG41" s="32">
        <f>AG40/AG37/0.0283*(21-7)/(21-AG38)</f>
        <v>0.05393261286973663</v>
      </c>
    </row>
    <row r="42" spans="1:29" ht="12.75">
      <c r="A42" s="27"/>
      <c r="B42" s="27"/>
      <c r="C42" s="27"/>
      <c r="D42" s="27"/>
      <c r="E42" s="31"/>
      <c r="F42" s="35"/>
      <c r="G42" s="31"/>
      <c r="H42" s="35"/>
      <c r="I42" s="52"/>
      <c r="J42" s="31"/>
      <c r="K42" s="31"/>
      <c r="L42" s="31"/>
      <c r="M42" s="31"/>
      <c r="N42" s="31"/>
      <c r="O42" s="31"/>
      <c r="P42" s="34"/>
      <c r="Q42" s="31"/>
      <c r="R42" s="34"/>
      <c r="S42" s="31"/>
      <c r="T42" s="31"/>
      <c r="U42" s="34"/>
      <c r="V42" s="31"/>
      <c r="W42" s="34"/>
      <c r="X42" s="31"/>
      <c r="AC42" s="31"/>
    </row>
    <row r="43" spans="1:29" ht="12.75">
      <c r="A43" s="32"/>
      <c r="B43" s="27" t="s">
        <v>61</v>
      </c>
      <c r="C43" s="35">
        <f>AVERAGE(H41,M41,R41,W41,AB41,AG41)</f>
        <v>0.09990415086984594</v>
      </c>
      <c r="D43" s="32"/>
      <c r="E43" s="32"/>
      <c r="F43" s="35"/>
      <c r="G43" s="32"/>
      <c r="H43" s="35"/>
      <c r="I43" s="51"/>
      <c r="J43" s="32"/>
      <c r="K43" s="32"/>
      <c r="L43" s="32"/>
      <c r="M43" s="32"/>
      <c r="N43" s="32"/>
      <c r="O43" s="32"/>
      <c r="P43" s="34"/>
      <c r="Q43" s="32"/>
      <c r="R43" s="34"/>
      <c r="S43" s="32"/>
      <c r="T43" s="32"/>
      <c r="U43" s="34"/>
      <c r="V43" s="32"/>
      <c r="W43" s="34"/>
      <c r="X43" s="32"/>
      <c r="AC43" s="32"/>
    </row>
    <row r="44" spans="1:29" ht="12.75">
      <c r="A44" s="27"/>
      <c r="B44" s="27" t="s">
        <v>62</v>
      </c>
      <c r="C44" s="35">
        <f>AVERAGE(G41,L41,Q41,V41,AA41,AF41)</f>
        <v>6.416334108223944</v>
      </c>
      <c r="D44" s="27"/>
      <c r="E44" s="34"/>
      <c r="F44" s="35"/>
      <c r="G44" s="34"/>
      <c r="H44" s="35"/>
      <c r="I44" s="38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AC44" s="34"/>
    </row>
  </sheetData>
  <printOptions headings="1" horizontalCentered="1"/>
  <pageMargins left="0.25" right="0.25" top="0.5" bottom="0.5" header="0.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P39"/>
  <sheetViews>
    <sheetView workbookViewId="0" topLeftCell="C1">
      <selection activeCell="B2" sqref="B2"/>
    </sheetView>
  </sheetViews>
  <sheetFormatPr defaultColWidth="9.140625" defaultRowHeight="12.75"/>
  <cols>
    <col min="1" max="2" width="9.140625" style="0" hidden="1" customWidth="1"/>
    <col min="3" max="3" width="12.421875" style="0" customWidth="1"/>
    <col min="4" max="4" width="7.00390625" style="95" customWidth="1"/>
    <col min="5" max="5" width="4.28125" style="0" customWidth="1"/>
    <col min="7" max="7" width="7.7109375" style="69" customWidth="1"/>
    <col min="8" max="8" width="8.28125" style="69" customWidth="1"/>
    <col min="9" max="9" width="4.57421875" style="0" customWidth="1"/>
    <col min="11" max="11" width="7.7109375" style="69" customWidth="1"/>
    <col min="12" max="12" width="8.28125" style="69" customWidth="1"/>
    <col min="13" max="13" width="3.28125" style="0" customWidth="1"/>
    <col min="15" max="15" width="7.7109375" style="69" customWidth="1"/>
    <col min="16" max="16" width="8.28125" style="69" customWidth="1"/>
    <col min="17" max="17" width="2.421875" style="0" customWidth="1"/>
    <col min="19" max="19" width="1.8515625" style="0" customWidth="1"/>
  </cols>
  <sheetData>
    <row r="1" ht="12.75">
      <c r="C1" s="6" t="s">
        <v>291</v>
      </c>
    </row>
    <row r="2" spans="6:16" ht="12.75">
      <c r="F2" s="133" t="s">
        <v>54</v>
      </c>
      <c r="G2" s="134"/>
      <c r="H2" s="134"/>
      <c r="I2" s="119"/>
      <c r="J2" s="133" t="s">
        <v>109</v>
      </c>
      <c r="K2" s="134"/>
      <c r="L2" s="134"/>
      <c r="M2" s="119"/>
      <c r="N2" s="133" t="s">
        <v>55</v>
      </c>
      <c r="O2" s="134"/>
      <c r="P2" s="134"/>
    </row>
    <row r="3" spans="4:16" ht="12.75">
      <c r="D3" s="95" t="s">
        <v>23</v>
      </c>
      <c r="F3" s="50" t="s">
        <v>25</v>
      </c>
      <c r="G3" s="110" t="s">
        <v>25</v>
      </c>
      <c r="H3" s="110" t="s">
        <v>27</v>
      </c>
      <c r="I3" s="50"/>
      <c r="J3" s="50" t="s">
        <v>25</v>
      </c>
      <c r="K3" s="110" t="s">
        <v>25</v>
      </c>
      <c r="L3" s="110" t="s">
        <v>27</v>
      </c>
      <c r="M3" s="50"/>
      <c r="N3" s="50" t="s">
        <v>25</v>
      </c>
      <c r="O3" s="110" t="s">
        <v>25</v>
      </c>
      <c r="P3" s="110" t="s">
        <v>27</v>
      </c>
    </row>
    <row r="4" spans="4:16" ht="12.75">
      <c r="D4" s="95" t="s">
        <v>342</v>
      </c>
      <c r="F4" s="50" t="s">
        <v>343</v>
      </c>
      <c r="G4" s="110" t="s">
        <v>71</v>
      </c>
      <c r="H4" s="110" t="s">
        <v>71</v>
      </c>
      <c r="I4" s="50"/>
      <c r="J4" s="50" t="s">
        <v>343</v>
      </c>
      <c r="K4" s="110" t="s">
        <v>71</v>
      </c>
      <c r="L4" s="110" t="s">
        <v>71</v>
      </c>
      <c r="M4" s="50"/>
      <c r="N4" s="50" t="s">
        <v>343</v>
      </c>
      <c r="O4" s="110" t="s">
        <v>71</v>
      </c>
      <c r="P4" s="110" t="s">
        <v>71</v>
      </c>
    </row>
    <row r="5" spans="1:42" s="92" customFormat="1" ht="12.75">
      <c r="A5" s="92" t="s">
        <v>291</v>
      </c>
      <c r="B5" s="92">
        <v>1</v>
      </c>
      <c r="C5" s="92" t="s">
        <v>344</v>
      </c>
      <c r="D5" s="96">
        <v>1</v>
      </c>
      <c r="E5" s="93"/>
      <c r="F5" s="97">
        <v>0.06452465146526845</v>
      </c>
      <c r="G5" s="97">
        <f>IF(E5=1,F5/2,F5)</f>
        <v>0.06452465146526845</v>
      </c>
      <c r="H5" s="97">
        <f>G5*$D5</f>
        <v>0.06452465146526845</v>
      </c>
      <c r="I5" s="93"/>
      <c r="J5" s="97">
        <v>0.04192008600190465</v>
      </c>
      <c r="K5" s="97">
        <f>IF(I5=1,J5/2,J5)</f>
        <v>0.04192008600190465</v>
      </c>
      <c r="L5" s="97">
        <f>K5*$D5</f>
        <v>0.04192008600190465</v>
      </c>
      <c r="M5" s="93"/>
      <c r="N5" s="97">
        <v>0.062326490356516655</v>
      </c>
      <c r="O5" s="97">
        <f>IF(M5=1,N5/2,N5)</f>
        <v>0.062326490356516655</v>
      </c>
      <c r="P5" s="97">
        <f>O5*$D5</f>
        <v>0.062326490356516655</v>
      </c>
      <c r="Q5" s="93"/>
      <c r="R5" s="97"/>
      <c r="S5" s="93"/>
      <c r="T5" s="97"/>
      <c r="U5" s="93"/>
      <c r="V5" s="97"/>
      <c r="W5" s="93"/>
      <c r="X5" s="97"/>
      <c r="Y5" s="93"/>
      <c r="Z5" s="97"/>
      <c r="AA5" s="93"/>
      <c r="AB5" s="98"/>
      <c r="AC5" s="93"/>
      <c r="AD5" s="98"/>
      <c r="AE5" s="93"/>
      <c r="AF5" s="98"/>
      <c r="AG5" s="93"/>
      <c r="AH5" s="98"/>
      <c r="AI5" s="93"/>
      <c r="AJ5" s="98"/>
      <c r="AK5" s="93"/>
      <c r="AL5" s="98"/>
      <c r="AM5" s="93"/>
      <c r="AN5" s="98"/>
      <c r="AO5" s="93"/>
      <c r="AP5" s="98"/>
    </row>
    <row r="6" spans="1:42" s="92" customFormat="1" ht="12.75">
      <c r="A6" s="92" t="s">
        <v>291</v>
      </c>
      <c r="B6" s="92">
        <v>2</v>
      </c>
      <c r="C6" s="92" t="s">
        <v>345</v>
      </c>
      <c r="D6" s="96">
        <v>0</v>
      </c>
      <c r="E6" s="93"/>
      <c r="F6" s="97">
        <v>1.9423444295411127</v>
      </c>
      <c r="G6" s="97">
        <f aca="true" t="shared" si="0" ref="G6:G37">IF(E6=1,F6/2,F6)</f>
        <v>1.9423444295411127</v>
      </c>
      <c r="H6" s="97">
        <f aca="true" t="shared" si="1" ref="H6:H37">G6*$D6</f>
        <v>0</v>
      </c>
      <c r="I6" s="93"/>
      <c r="J6" s="97">
        <v>1.2514679333251537</v>
      </c>
      <c r="K6" s="97">
        <f aca="true" t="shared" si="2" ref="K6:K37">IF(I6=1,J6/2,J6)</f>
        <v>1.2514679333251537</v>
      </c>
      <c r="L6" s="97">
        <f aca="true" t="shared" si="3" ref="L6:L37">K6*$D6</f>
        <v>0</v>
      </c>
      <c r="M6" s="93"/>
      <c r="N6" s="97">
        <v>1.8394305230859151</v>
      </c>
      <c r="O6" s="97">
        <f aca="true" t="shared" si="4" ref="O6:O37">IF(M6=1,N6/2,N6)</f>
        <v>1.8394305230859151</v>
      </c>
      <c r="P6" s="97">
        <f aca="true" t="shared" si="5" ref="P6:P37">O6*$D6</f>
        <v>0</v>
      </c>
      <c r="Q6" s="93"/>
      <c r="R6" s="97"/>
      <c r="S6" s="93"/>
      <c r="T6" s="97"/>
      <c r="U6" s="93"/>
      <c r="V6" s="97"/>
      <c r="W6" s="93"/>
      <c r="X6" s="97"/>
      <c r="Y6" s="93"/>
      <c r="Z6" s="97"/>
      <c r="AA6" s="93"/>
      <c r="AB6" s="98"/>
      <c r="AC6" s="93"/>
      <c r="AD6" s="98"/>
      <c r="AE6" s="93"/>
      <c r="AF6" s="98"/>
      <c r="AG6" s="93"/>
      <c r="AH6" s="98"/>
      <c r="AI6" s="93"/>
      <c r="AJ6" s="98"/>
      <c r="AK6" s="93"/>
      <c r="AL6" s="98"/>
      <c r="AM6" s="93"/>
      <c r="AN6" s="98"/>
      <c r="AO6" s="93"/>
      <c r="AP6" s="98"/>
    </row>
    <row r="7" spans="1:42" s="92" customFormat="1" ht="12.75">
      <c r="A7" s="92" t="s">
        <v>291</v>
      </c>
      <c r="B7" s="92">
        <v>3</v>
      </c>
      <c r="C7" s="92" t="s">
        <v>346</v>
      </c>
      <c r="D7" s="96">
        <v>0</v>
      </c>
      <c r="E7" s="93"/>
      <c r="F7" s="97">
        <v>2.006869081006381</v>
      </c>
      <c r="G7" s="97">
        <f t="shared" si="0"/>
        <v>2.006869081006381</v>
      </c>
      <c r="H7" s="97">
        <f t="shared" si="1"/>
        <v>0</v>
      </c>
      <c r="I7" s="93"/>
      <c r="J7" s="97">
        <v>1.2933880193270584</v>
      </c>
      <c r="K7" s="97">
        <f t="shared" si="2"/>
        <v>1.2933880193270584</v>
      </c>
      <c r="L7" s="97">
        <f t="shared" si="3"/>
        <v>0</v>
      </c>
      <c r="M7" s="93"/>
      <c r="N7" s="97">
        <v>1.9017570134424318</v>
      </c>
      <c r="O7" s="97">
        <f t="shared" si="4"/>
        <v>1.9017570134424318</v>
      </c>
      <c r="P7" s="97">
        <f t="shared" si="5"/>
        <v>0</v>
      </c>
      <c r="Q7" s="93"/>
      <c r="R7" s="97"/>
      <c r="S7" s="93"/>
      <c r="T7" s="97"/>
      <c r="U7" s="93"/>
      <c r="V7" s="97"/>
      <c r="W7" s="93"/>
      <c r="X7" s="97"/>
      <c r="Y7" s="93"/>
      <c r="Z7" s="97"/>
      <c r="AA7" s="93"/>
      <c r="AB7" s="98"/>
      <c r="AC7" s="93"/>
      <c r="AD7" s="98"/>
      <c r="AE7" s="93"/>
      <c r="AF7" s="98"/>
      <c r="AG7" s="93"/>
      <c r="AH7" s="98"/>
      <c r="AI7" s="93"/>
      <c r="AJ7" s="98"/>
      <c r="AK7" s="93"/>
      <c r="AL7" s="98"/>
      <c r="AM7" s="93"/>
      <c r="AN7" s="98"/>
      <c r="AO7" s="93"/>
      <c r="AP7" s="98"/>
    </row>
    <row r="8" spans="1:42" s="92" customFormat="1" ht="12.75">
      <c r="A8" s="92" t="s">
        <v>291</v>
      </c>
      <c r="B8" s="92">
        <v>4</v>
      </c>
      <c r="C8" s="92" t="s">
        <v>347</v>
      </c>
      <c r="D8" s="96">
        <v>0.5</v>
      </c>
      <c r="E8" s="93"/>
      <c r="F8" s="97">
        <v>0.2962037149941064</v>
      </c>
      <c r="G8" s="97">
        <f t="shared" si="0"/>
        <v>0.2962037149941064</v>
      </c>
      <c r="H8" s="97">
        <f t="shared" si="1"/>
        <v>0.1481018574970532</v>
      </c>
      <c r="I8" s="93"/>
      <c r="J8" s="97">
        <v>0.17125888793461</v>
      </c>
      <c r="K8" s="97">
        <f t="shared" si="2"/>
        <v>0.17125888793461</v>
      </c>
      <c r="L8" s="97">
        <f t="shared" si="3"/>
        <v>0.085629443967305</v>
      </c>
      <c r="M8" s="93"/>
      <c r="N8" s="97">
        <v>0.33400606370543545</v>
      </c>
      <c r="O8" s="97">
        <f t="shared" si="4"/>
        <v>0.33400606370543545</v>
      </c>
      <c r="P8" s="97">
        <f t="shared" si="5"/>
        <v>0.16700303185271773</v>
      </c>
      <c r="Q8" s="93"/>
      <c r="R8" s="97"/>
      <c r="S8" s="93"/>
      <c r="T8" s="97"/>
      <c r="U8" s="93"/>
      <c r="V8" s="97"/>
      <c r="W8" s="93"/>
      <c r="X8" s="97"/>
      <c r="Y8" s="93"/>
      <c r="Z8" s="97"/>
      <c r="AA8" s="93"/>
      <c r="AB8" s="98"/>
      <c r="AC8" s="93"/>
      <c r="AD8" s="98"/>
      <c r="AE8" s="93"/>
      <c r="AF8" s="98"/>
      <c r="AG8" s="93"/>
      <c r="AH8" s="98"/>
      <c r="AI8" s="93"/>
      <c r="AJ8" s="98"/>
      <c r="AK8" s="93"/>
      <c r="AL8" s="98"/>
      <c r="AM8" s="93"/>
      <c r="AN8" s="98"/>
      <c r="AO8" s="93"/>
      <c r="AP8" s="98"/>
    </row>
    <row r="9" spans="1:42" s="92" customFormat="1" ht="12.75">
      <c r="A9" s="92" t="s">
        <v>291</v>
      </c>
      <c r="B9" s="92">
        <v>5</v>
      </c>
      <c r="C9" s="92" t="s">
        <v>348</v>
      </c>
      <c r="D9" s="96">
        <v>0</v>
      </c>
      <c r="E9" s="93"/>
      <c r="F9" s="97">
        <v>3.107852700890135</v>
      </c>
      <c r="G9" s="97">
        <f t="shared" si="0"/>
        <v>3.107852700890135</v>
      </c>
      <c r="H9" s="97">
        <f t="shared" si="1"/>
        <v>0</v>
      </c>
      <c r="I9" s="93"/>
      <c r="J9" s="97">
        <v>1.9196332065506336</v>
      </c>
      <c r="K9" s="97">
        <f t="shared" si="2"/>
        <v>1.9196332065506336</v>
      </c>
      <c r="L9" s="97">
        <f t="shared" si="3"/>
        <v>0</v>
      </c>
      <c r="M9" s="93"/>
      <c r="N9" s="97">
        <v>3.932961353009935</v>
      </c>
      <c r="O9" s="97">
        <f t="shared" si="4"/>
        <v>3.932961353009935</v>
      </c>
      <c r="P9" s="97">
        <f t="shared" si="5"/>
        <v>0</v>
      </c>
      <c r="Q9" s="93"/>
      <c r="R9" s="97"/>
      <c r="S9" s="93"/>
      <c r="T9" s="97"/>
      <c r="U9" s="93"/>
      <c r="V9" s="97"/>
      <c r="W9" s="93"/>
      <c r="X9" s="97"/>
      <c r="Y9" s="93"/>
      <c r="Z9" s="97"/>
      <c r="AA9" s="93"/>
      <c r="AB9" s="98"/>
      <c r="AC9" s="93"/>
      <c r="AD9" s="98"/>
      <c r="AE9" s="93"/>
      <c r="AF9" s="98"/>
      <c r="AG9" s="93"/>
      <c r="AH9" s="98"/>
      <c r="AI9" s="93"/>
      <c r="AJ9" s="98"/>
      <c r="AK9" s="93"/>
      <c r="AL9" s="98"/>
      <c r="AM9" s="93"/>
      <c r="AN9" s="98"/>
      <c r="AO9" s="93"/>
      <c r="AP9" s="98"/>
    </row>
    <row r="10" spans="1:42" s="92" customFormat="1" ht="12.75">
      <c r="A10" s="92" t="s">
        <v>291</v>
      </c>
      <c r="B10" s="92">
        <v>6</v>
      </c>
      <c r="C10" s="92" t="s">
        <v>349</v>
      </c>
      <c r="D10" s="96">
        <v>0</v>
      </c>
      <c r="E10" s="93"/>
      <c r="F10" s="97">
        <v>3.4040564158842415</v>
      </c>
      <c r="G10" s="97">
        <f t="shared" si="0"/>
        <v>3.4040564158842415</v>
      </c>
      <c r="H10" s="97">
        <f t="shared" si="1"/>
        <v>0</v>
      </c>
      <c r="I10" s="93"/>
      <c r="J10" s="97">
        <v>2.0908920944852443</v>
      </c>
      <c r="K10" s="97">
        <f t="shared" si="2"/>
        <v>2.0908920944852443</v>
      </c>
      <c r="L10" s="97">
        <f t="shared" si="3"/>
        <v>0</v>
      </c>
      <c r="M10" s="93"/>
      <c r="N10" s="97">
        <v>4.266967416715371</v>
      </c>
      <c r="O10" s="97">
        <f t="shared" si="4"/>
        <v>4.266967416715371</v>
      </c>
      <c r="P10" s="97">
        <f t="shared" si="5"/>
        <v>0</v>
      </c>
      <c r="Q10" s="93"/>
      <c r="R10" s="97"/>
      <c r="S10" s="93"/>
      <c r="T10" s="97"/>
      <c r="U10" s="93"/>
      <c r="V10" s="97"/>
      <c r="W10" s="93"/>
      <c r="X10" s="97"/>
      <c r="Y10" s="93"/>
      <c r="Z10" s="97"/>
      <c r="AA10" s="93"/>
      <c r="AB10" s="98"/>
      <c r="AC10" s="93"/>
      <c r="AD10" s="98"/>
      <c r="AE10" s="93"/>
      <c r="AF10" s="98"/>
      <c r="AG10" s="93"/>
      <c r="AH10" s="98"/>
      <c r="AI10" s="93"/>
      <c r="AJ10" s="98"/>
      <c r="AK10" s="93"/>
      <c r="AL10" s="98"/>
      <c r="AM10" s="93"/>
      <c r="AN10" s="98"/>
      <c r="AO10" s="93"/>
      <c r="AP10" s="98"/>
    </row>
    <row r="11" spans="1:42" s="92" customFormat="1" ht="12.75">
      <c r="A11" s="92" t="s">
        <v>291</v>
      </c>
      <c r="B11" s="92">
        <v>7</v>
      </c>
      <c r="C11" s="92" t="s">
        <v>350</v>
      </c>
      <c r="D11" s="96">
        <v>0.1</v>
      </c>
      <c r="E11" s="93"/>
      <c r="F11" s="97">
        <v>0.27232451327074</v>
      </c>
      <c r="G11" s="97">
        <f t="shared" si="0"/>
        <v>0.27232451327074</v>
      </c>
      <c r="H11" s="97">
        <f t="shared" si="1"/>
        <v>0.027232451327073998</v>
      </c>
      <c r="I11" s="93"/>
      <c r="J11" s="97">
        <v>0.12933880193270583</v>
      </c>
      <c r="K11" s="97">
        <f t="shared" si="2"/>
        <v>0.12933880193270583</v>
      </c>
      <c r="L11" s="97">
        <f t="shared" si="3"/>
        <v>0.012933880193270584</v>
      </c>
      <c r="M11" s="93"/>
      <c r="N11" s="97">
        <v>0.35691238067407</v>
      </c>
      <c r="O11" s="97">
        <f t="shared" si="4"/>
        <v>0.35691238067407</v>
      </c>
      <c r="P11" s="97">
        <f t="shared" si="5"/>
        <v>0.035691238067407004</v>
      </c>
      <c r="Q11" s="93"/>
      <c r="R11" s="97"/>
      <c r="S11" s="93"/>
      <c r="T11" s="97"/>
      <c r="U11" s="93"/>
      <c r="V11" s="97"/>
      <c r="W11" s="93"/>
      <c r="X11" s="97"/>
      <c r="Y11" s="93"/>
      <c r="Z11" s="97"/>
      <c r="AA11" s="93"/>
      <c r="AB11" s="98"/>
      <c r="AC11" s="93"/>
      <c r="AD11" s="98"/>
      <c r="AE11" s="93"/>
      <c r="AF11" s="98"/>
      <c r="AG11" s="93"/>
      <c r="AH11" s="98"/>
      <c r="AI11" s="93"/>
      <c r="AJ11" s="98"/>
      <c r="AK11" s="93"/>
      <c r="AL11" s="98"/>
      <c r="AM11" s="93"/>
      <c r="AN11" s="98"/>
      <c r="AO11" s="93"/>
      <c r="AP11" s="98"/>
    </row>
    <row r="12" spans="1:42" s="92" customFormat="1" ht="12.75">
      <c r="A12" s="92" t="s">
        <v>291</v>
      </c>
      <c r="B12" s="92">
        <v>8</v>
      </c>
      <c r="C12" s="92" t="s">
        <v>351</v>
      </c>
      <c r="D12" s="96">
        <v>0.1</v>
      </c>
      <c r="E12" s="93"/>
      <c r="F12" s="97">
        <v>0.3404056415884242</v>
      </c>
      <c r="G12" s="97">
        <f t="shared" si="0"/>
        <v>0.3404056415884242</v>
      </c>
      <c r="H12" s="97">
        <f t="shared" si="1"/>
        <v>0.03404056415884242</v>
      </c>
      <c r="I12" s="93"/>
      <c r="J12" s="97">
        <v>0.17125888793461</v>
      </c>
      <c r="K12" s="97">
        <f t="shared" si="2"/>
        <v>0.17125888793461</v>
      </c>
      <c r="L12" s="97">
        <f t="shared" si="3"/>
        <v>0.017125888793461</v>
      </c>
      <c r="M12" s="93"/>
      <c r="N12" s="97">
        <v>0.38834197837522</v>
      </c>
      <c r="O12" s="97">
        <f t="shared" si="4"/>
        <v>0.38834197837522</v>
      </c>
      <c r="P12" s="97">
        <f t="shared" si="5"/>
        <v>0.038834197837522004</v>
      </c>
      <c r="Q12" s="93"/>
      <c r="R12" s="97"/>
      <c r="S12" s="93"/>
      <c r="T12" s="97"/>
      <c r="U12" s="93"/>
      <c r="V12" s="97"/>
      <c r="W12" s="93"/>
      <c r="X12" s="97"/>
      <c r="Y12" s="93"/>
      <c r="Z12" s="97"/>
      <c r="AA12" s="93"/>
      <c r="AB12" s="98"/>
      <c r="AC12" s="93"/>
      <c r="AD12" s="98"/>
      <c r="AE12" s="93"/>
      <c r="AF12" s="98"/>
      <c r="AG12" s="93"/>
      <c r="AH12" s="98"/>
      <c r="AI12" s="93"/>
      <c r="AJ12" s="98"/>
      <c r="AK12" s="93"/>
      <c r="AL12" s="98"/>
      <c r="AM12" s="93"/>
      <c r="AN12" s="98"/>
      <c r="AO12" s="93"/>
      <c r="AP12" s="98"/>
    </row>
    <row r="13" spans="1:42" s="92" customFormat="1" ht="12.75">
      <c r="A13" s="92" t="s">
        <v>291</v>
      </c>
      <c r="B13" s="92">
        <v>9</v>
      </c>
      <c r="C13" s="92" t="s">
        <v>352</v>
      </c>
      <c r="D13" s="96">
        <v>0.1</v>
      </c>
      <c r="E13" s="93"/>
      <c r="F13" s="97">
        <v>0.20068690810063816</v>
      </c>
      <c r="G13" s="97">
        <f t="shared" si="0"/>
        <v>0.20068690810063816</v>
      </c>
      <c r="H13" s="97">
        <f t="shared" si="1"/>
        <v>0.020068690810063818</v>
      </c>
      <c r="I13" s="93"/>
      <c r="J13" s="97">
        <v>0.11400218510274</v>
      </c>
      <c r="K13" s="97">
        <f t="shared" si="2"/>
        <v>0.11400218510274</v>
      </c>
      <c r="L13" s="97">
        <f t="shared" si="3"/>
        <v>0.011400218510274</v>
      </c>
      <c r="M13" s="93"/>
      <c r="N13" s="97">
        <v>0.23279210500681868</v>
      </c>
      <c r="O13" s="97">
        <f t="shared" si="4"/>
        <v>0.23279210500681868</v>
      </c>
      <c r="P13" s="97">
        <f t="shared" si="5"/>
        <v>0.02327921050068187</v>
      </c>
      <c r="Q13" s="93"/>
      <c r="R13" s="97"/>
      <c r="S13" s="93"/>
      <c r="T13" s="97"/>
      <c r="U13" s="93"/>
      <c r="V13" s="97"/>
      <c r="W13" s="93"/>
      <c r="X13" s="97"/>
      <c r="Y13" s="93"/>
      <c r="Z13" s="97"/>
      <c r="AA13" s="93"/>
      <c r="AB13" s="98"/>
      <c r="AC13" s="93"/>
      <c r="AD13" s="98"/>
      <c r="AE13" s="93"/>
      <c r="AF13" s="98"/>
      <c r="AG13" s="93"/>
      <c r="AH13" s="98"/>
      <c r="AI13" s="93"/>
      <c r="AJ13" s="98"/>
      <c r="AK13" s="93"/>
      <c r="AL13" s="98"/>
      <c r="AM13" s="93"/>
      <c r="AN13" s="98"/>
      <c r="AO13" s="93"/>
      <c r="AP13" s="98"/>
    </row>
    <row r="14" spans="1:42" s="92" customFormat="1" ht="12.75">
      <c r="A14" s="92" t="s">
        <v>291</v>
      </c>
      <c r="B14" s="92">
        <v>10</v>
      </c>
      <c r="C14" s="92" t="s">
        <v>353</v>
      </c>
      <c r="D14" s="96">
        <v>0</v>
      </c>
      <c r="E14" s="93"/>
      <c r="F14" s="97">
        <v>3.2714506361012887</v>
      </c>
      <c r="G14" s="97">
        <f t="shared" si="0"/>
        <v>3.2714506361012887</v>
      </c>
      <c r="H14" s="97">
        <f t="shared" si="1"/>
        <v>0</v>
      </c>
      <c r="I14" s="93"/>
      <c r="J14" s="97">
        <v>1.8296583878148387</v>
      </c>
      <c r="K14" s="97">
        <f t="shared" si="2"/>
        <v>1.8296583878148387</v>
      </c>
      <c r="L14" s="97">
        <f t="shared" si="3"/>
        <v>0</v>
      </c>
      <c r="M14" s="93"/>
      <c r="N14" s="97">
        <v>4.066670319501267</v>
      </c>
      <c r="O14" s="97">
        <f t="shared" si="4"/>
        <v>4.066670319501267</v>
      </c>
      <c r="P14" s="97">
        <f t="shared" si="5"/>
        <v>0</v>
      </c>
      <c r="Q14" s="93"/>
      <c r="R14" s="97"/>
      <c r="S14" s="93"/>
      <c r="T14" s="97"/>
      <c r="U14" s="93"/>
      <c r="V14" s="97"/>
      <c r="W14" s="93"/>
      <c r="X14" s="97"/>
      <c r="Y14" s="93"/>
      <c r="Z14" s="97"/>
      <c r="AA14" s="93"/>
      <c r="AB14" s="98"/>
      <c r="AC14" s="93"/>
      <c r="AD14" s="98"/>
      <c r="AE14" s="93"/>
      <c r="AF14" s="98"/>
      <c r="AG14" s="93"/>
      <c r="AH14" s="98"/>
      <c r="AI14" s="93"/>
      <c r="AJ14" s="98"/>
      <c r="AK14" s="93"/>
      <c r="AL14" s="98"/>
      <c r="AM14" s="93"/>
      <c r="AN14" s="98"/>
      <c r="AO14" s="93"/>
      <c r="AP14" s="98"/>
    </row>
    <row r="15" spans="1:42" s="92" customFormat="1" ht="12.75">
      <c r="A15" s="92" t="s">
        <v>291</v>
      </c>
      <c r="B15" s="92">
        <v>11</v>
      </c>
      <c r="C15" s="92" t="s">
        <v>354</v>
      </c>
      <c r="D15" s="96">
        <v>0</v>
      </c>
      <c r="E15" s="93"/>
      <c r="F15" s="97">
        <v>4.0848676990611</v>
      </c>
      <c r="G15" s="97">
        <f t="shared" si="0"/>
        <v>4.0848676990611</v>
      </c>
      <c r="H15" s="97">
        <f t="shared" si="1"/>
        <v>0</v>
      </c>
      <c r="I15" s="93"/>
      <c r="J15" s="97">
        <v>2.2442582627849</v>
      </c>
      <c r="K15" s="97">
        <f t="shared" si="2"/>
        <v>2.2442582627849</v>
      </c>
      <c r="L15" s="97">
        <f t="shared" si="3"/>
        <v>0</v>
      </c>
      <c r="M15" s="93"/>
      <c r="N15" s="97">
        <v>5.044716783557375</v>
      </c>
      <c r="O15" s="97">
        <f t="shared" si="4"/>
        <v>5.044716783557375</v>
      </c>
      <c r="P15" s="97">
        <f t="shared" si="5"/>
        <v>0</v>
      </c>
      <c r="Q15" s="93"/>
      <c r="R15" s="97"/>
      <c r="S15" s="93"/>
      <c r="T15" s="97"/>
      <c r="U15" s="93"/>
      <c r="V15" s="97"/>
      <c r="W15" s="93"/>
      <c r="X15" s="97"/>
      <c r="Y15" s="93"/>
      <c r="Z15" s="97"/>
      <c r="AA15" s="93"/>
      <c r="AB15" s="98"/>
      <c r="AC15" s="93"/>
      <c r="AD15" s="98"/>
      <c r="AE15" s="93"/>
      <c r="AF15" s="98"/>
      <c r="AG15" s="93"/>
      <c r="AH15" s="98"/>
      <c r="AI15" s="93"/>
      <c r="AJ15" s="98"/>
      <c r="AK15" s="93"/>
      <c r="AL15" s="98"/>
      <c r="AM15" s="93"/>
      <c r="AN15" s="98"/>
      <c r="AO15" s="93"/>
      <c r="AP15" s="98"/>
    </row>
    <row r="16" spans="1:42" s="92" customFormat="1" ht="12.75">
      <c r="A16" s="92" t="s">
        <v>291</v>
      </c>
      <c r="B16" s="92">
        <v>12</v>
      </c>
      <c r="C16" s="92" t="s">
        <v>355</v>
      </c>
      <c r="D16" s="96">
        <v>0.01</v>
      </c>
      <c r="E16" s="93"/>
      <c r="F16" s="97">
        <v>1.0212169247652727</v>
      </c>
      <c r="G16" s="97">
        <f t="shared" si="0"/>
        <v>1.0212169247652727</v>
      </c>
      <c r="H16" s="97">
        <f t="shared" si="1"/>
        <v>0.010212169247652727</v>
      </c>
      <c r="I16" s="93"/>
      <c r="J16" s="97">
        <v>0.4943502824858757</v>
      </c>
      <c r="K16" s="97">
        <f t="shared" si="2"/>
        <v>0.4943502824858757</v>
      </c>
      <c r="L16" s="97">
        <f t="shared" si="3"/>
        <v>0.0049435028248587575</v>
      </c>
      <c r="M16" s="93"/>
      <c r="N16" s="97">
        <v>1.1240076466004287</v>
      </c>
      <c r="O16" s="97">
        <f t="shared" si="4"/>
        <v>1.1240076466004287</v>
      </c>
      <c r="P16" s="97">
        <f t="shared" si="5"/>
        <v>0.011240076466004287</v>
      </c>
      <c r="Q16" s="93"/>
      <c r="R16" s="97"/>
      <c r="S16" s="93"/>
      <c r="T16" s="97"/>
      <c r="U16" s="93"/>
      <c r="V16" s="97"/>
      <c r="W16" s="93"/>
      <c r="X16" s="97"/>
      <c r="Y16" s="93"/>
      <c r="Z16" s="97"/>
      <c r="AA16" s="93"/>
      <c r="AB16" s="98"/>
      <c r="AC16" s="93"/>
      <c r="AD16" s="98"/>
      <c r="AE16" s="93"/>
      <c r="AF16" s="98"/>
      <c r="AG16" s="93"/>
      <c r="AH16" s="98"/>
      <c r="AI16" s="93"/>
      <c r="AJ16" s="98"/>
      <c r="AK16" s="93"/>
      <c r="AL16" s="98"/>
      <c r="AM16" s="93"/>
      <c r="AN16" s="98"/>
      <c r="AO16" s="93"/>
      <c r="AP16" s="98"/>
    </row>
    <row r="17" spans="1:42" s="92" customFormat="1" ht="12.75">
      <c r="A17" s="92" t="s">
        <v>291</v>
      </c>
      <c r="B17" s="92">
        <v>13</v>
      </c>
      <c r="C17" s="92" t="s">
        <v>356</v>
      </c>
      <c r="D17" s="96">
        <v>0</v>
      </c>
      <c r="E17" s="93"/>
      <c r="F17" s="97">
        <v>1.4276714221842863</v>
      </c>
      <c r="G17" s="97">
        <f t="shared" si="0"/>
        <v>1.4276714221842863</v>
      </c>
      <c r="H17" s="97">
        <f t="shared" si="1"/>
        <v>0</v>
      </c>
      <c r="I17" s="93"/>
      <c r="J17" s="97">
        <v>0.6098861292716129</v>
      </c>
      <c r="K17" s="97">
        <f t="shared" si="2"/>
        <v>0.6098861292716129</v>
      </c>
      <c r="L17" s="97">
        <f t="shared" si="3"/>
        <v>0</v>
      </c>
      <c r="M17" s="93"/>
      <c r="N17" s="97">
        <v>1.4755929768166764</v>
      </c>
      <c r="O17" s="97">
        <f t="shared" si="4"/>
        <v>1.4755929768166764</v>
      </c>
      <c r="P17" s="97">
        <f t="shared" si="5"/>
        <v>0</v>
      </c>
      <c r="Q17" s="93"/>
      <c r="R17" s="97"/>
      <c r="S17" s="93"/>
      <c r="T17" s="97"/>
      <c r="U17" s="93"/>
      <c r="V17" s="97"/>
      <c r="W17" s="93"/>
      <c r="X17" s="97"/>
      <c r="Y17" s="93"/>
      <c r="Z17" s="97"/>
      <c r="AA17" s="93"/>
      <c r="AB17" s="98"/>
      <c r="AC17" s="93"/>
      <c r="AD17" s="98"/>
      <c r="AE17" s="93"/>
      <c r="AF17" s="98"/>
      <c r="AG17" s="93"/>
      <c r="AH17" s="98"/>
      <c r="AI17" s="93"/>
      <c r="AJ17" s="98"/>
      <c r="AK17" s="93"/>
      <c r="AL17" s="98"/>
      <c r="AM17" s="93"/>
      <c r="AN17" s="98"/>
      <c r="AO17" s="93"/>
      <c r="AP17" s="98"/>
    </row>
    <row r="18" spans="1:42" s="92" customFormat="1" ht="12.75">
      <c r="A18" s="92" t="s">
        <v>291</v>
      </c>
      <c r="B18" s="92">
        <v>14</v>
      </c>
      <c r="C18" s="92" t="s">
        <v>357</v>
      </c>
      <c r="D18" s="96">
        <v>0</v>
      </c>
      <c r="E18" s="93"/>
      <c r="F18" s="97">
        <v>2.448888346949559</v>
      </c>
      <c r="G18" s="97">
        <f t="shared" si="0"/>
        <v>2.448888346949559</v>
      </c>
      <c r="H18" s="97">
        <f t="shared" si="1"/>
        <v>0</v>
      </c>
      <c r="I18" s="93"/>
      <c r="J18" s="97">
        <v>1.1042364117574885</v>
      </c>
      <c r="K18" s="97">
        <f t="shared" si="2"/>
        <v>1.1042364117574885</v>
      </c>
      <c r="L18" s="97">
        <f t="shared" si="3"/>
        <v>0</v>
      </c>
      <c r="M18" s="93"/>
      <c r="N18" s="97">
        <v>2.5996006234171</v>
      </c>
      <c r="O18" s="97">
        <f t="shared" si="4"/>
        <v>2.5996006234171</v>
      </c>
      <c r="P18" s="97">
        <f t="shared" si="5"/>
        <v>0</v>
      </c>
      <c r="Q18" s="93"/>
      <c r="R18" s="97"/>
      <c r="S18" s="93"/>
      <c r="T18" s="97"/>
      <c r="U18" s="93"/>
      <c r="V18" s="97"/>
      <c r="W18" s="93"/>
      <c r="X18" s="97"/>
      <c r="Y18" s="93"/>
      <c r="Z18" s="97"/>
      <c r="AA18" s="93"/>
      <c r="AB18" s="98"/>
      <c r="AC18" s="93"/>
      <c r="AD18" s="98"/>
      <c r="AE18" s="93"/>
      <c r="AF18" s="98"/>
      <c r="AG18" s="93"/>
      <c r="AH18" s="98"/>
      <c r="AI18" s="93"/>
      <c r="AJ18" s="98"/>
      <c r="AK18" s="93"/>
      <c r="AL18" s="98"/>
      <c r="AM18" s="93"/>
      <c r="AN18" s="98"/>
      <c r="AO18" s="93"/>
      <c r="AP18" s="98"/>
    </row>
    <row r="19" spans="1:42" s="92" customFormat="1" ht="12.75">
      <c r="A19" s="92" t="s">
        <v>291</v>
      </c>
      <c r="B19" s="92">
        <v>15</v>
      </c>
      <c r="C19" s="92" t="s">
        <v>358</v>
      </c>
      <c r="D19" s="96">
        <v>0.001</v>
      </c>
      <c r="E19" s="93"/>
      <c r="F19" s="97">
        <v>0.7824249075316019</v>
      </c>
      <c r="G19" s="97">
        <f t="shared" si="0"/>
        <v>0.7824249075316019</v>
      </c>
      <c r="H19" s="97">
        <f t="shared" si="1"/>
        <v>0.0007824249075316019</v>
      </c>
      <c r="I19" s="93"/>
      <c r="J19" s="97">
        <v>0.3762583328951443</v>
      </c>
      <c r="K19" s="97">
        <f t="shared" si="2"/>
        <v>0.3762583328951443</v>
      </c>
      <c r="L19" s="97">
        <f t="shared" si="3"/>
        <v>0.0003762583328951443</v>
      </c>
      <c r="M19" s="93"/>
      <c r="N19" s="97">
        <v>0.66055425676992</v>
      </c>
      <c r="O19" s="97">
        <f t="shared" si="4"/>
        <v>0.66055425676992</v>
      </c>
      <c r="P19" s="97">
        <f t="shared" si="5"/>
        <v>0.0006605542567699199</v>
      </c>
      <c r="Q19" s="93"/>
      <c r="R19" s="97"/>
      <c r="S19" s="93"/>
      <c r="T19" s="97"/>
      <c r="U19" s="93"/>
      <c r="V19" s="97"/>
      <c r="W19" s="93"/>
      <c r="X19" s="97"/>
      <c r="Y19" s="93"/>
      <c r="Z19" s="97"/>
      <c r="AA19" s="93"/>
      <c r="AB19" s="98"/>
      <c r="AC19" s="93"/>
      <c r="AD19" s="98"/>
      <c r="AE19" s="93"/>
      <c r="AF19" s="98"/>
      <c r="AG19" s="93"/>
      <c r="AH19" s="98"/>
      <c r="AI19" s="93"/>
      <c r="AJ19" s="98"/>
      <c r="AK19" s="93"/>
      <c r="AL19" s="98"/>
      <c r="AM19" s="93"/>
      <c r="AN19" s="98"/>
      <c r="AO19" s="93"/>
      <c r="AP19" s="98"/>
    </row>
    <row r="20" spans="1:42" s="92" customFormat="1" ht="12.75">
      <c r="A20" s="92" t="s">
        <v>291</v>
      </c>
      <c r="B20" s="92">
        <v>16</v>
      </c>
      <c r="C20" s="92" t="s">
        <v>359</v>
      </c>
      <c r="D20" s="96">
        <v>0.1</v>
      </c>
      <c r="E20" s="93"/>
      <c r="F20" s="97">
        <v>0.5791976588220948</v>
      </c>
      <c r="G20" s="97">
        <f t="shared" si="0"/>
        <v>0.5791976588220948</v>
      </c>
      <c r="H20" s="97">
        <f t="shared" si="1"/>
        <v>0.057919765882209484</v>
      </c>
      <c r="I20" s="93"/>
      <c r="J20" s="97">
        <v>0.41817841889704893</v>
      </c>
      <c r="K20" s="97">
        <f t="shared" si="2"/>
        <v>0.41817841889704893</v>
      </c>
      <c r="L20" s="97">
        <f t="shared" si="3"/>
        <v>0.041817841889704895</v>
      </c>
      <c r="M20" s="93"/>
      <c r="N20" s="97">
        <v>0.66055425676992</v>
      </c>
      <c r="O20" s="97">
        <f t="shared" si="4"/>
        <v>0.66055425676992</v>
      </c>
      <c r="P20" s="97">
        <f t="shared" si="5"/>
        <v>0.066055425676992</v>
      </c>
      <c r="Q20" s="93"/>
      <c r="R20" s="97"/>
      <c r="S20" s="93"/>
      <c r="T20" s="97"/>
      <c r="U20" s="93"/>
      <c r="V20" s="97"/>
      <c r="W20" s="93"/>
      <c r="X20" s="97"/>
      <c r="Y20" s="93"/>
      <c r="Z20" s="97"/>
      <c r="AA20" s="93"/>
      <c r="AB20" s="98"/>
      <c r="AC20" s="93"/>
      <c r="AD20" s="98"/>
      <c r="AE20" s="93"/>
      <c r="AF20" s="98"/>
      <c r="AG20" s="93"/>
      <c r="AH20" s="98"/>
      <c r="AI20" s="93"/>
      <c r="AJ20" s="98"/>
      <c r="AK20" s="93"/>
      <c r="AL20" s="98"/>
      <c r="AM20" s="93"/>
      <c r="AN20" s="98"/>
      <c r="AO20" s="93"/>
      <c r="AP20" s="98"/>
    </row>
    <row r="21" spans="1:42" s="92" customFormat="1" ht="12.75">
      <c r="A21" s="92" t="s">
        <v>291</v>
      </c>
      <c r="B21" s="92">
        <v>17</v>
      </c>
      <c r="C21" s="92" t="s">
        <v>360</v>
      </c>
      <c r="D21" s="96">
        <v>0</v>
      </c>
      <c r="E21" s="93"/>
      <c r="F21" s="97">
        <v>36.86542291590456</v>
      </c>
      <c r="G21" s="97">
        <f t="shared" si="0"/>
        <v>36.86542291590456</v>
      </c>
      <c r="H21" s="97">
        <f t="shared" si="1"/>
        <v>0</v>
      </c>
      <c r="I21" s="93"/>
      <c r="J21" s="97">
        <v>22.0244042089519</v>
      </c>
      <c r="K21" s="97">
        <f t="shared" si="2"/>
        <v>22.0244042089519</v>
      </c>
      <c r="L21" s="97">
        <f t="shared" si="3"/>
        <v>0</v>
      </c>
      <c r="M21" s="93"/>
      <c r="N21" s="97">
        <v>45.89786674459381</v>
      </c>
      <c r="O21" s="97">
        <f t="shared" si="4"/>
        <v>45.89786674459381</v>
      </c>
      <c r="P21" s="97">
        <f t="shared" si="5"/>
        <v>0</v>
      </c>
      <c r="Q21" s="93"/>
      <c r="R21" s="97"/>
      <c r="S21" s="93"/>
      <c r="T21" s="97"/>
      <c r="U21" s="93"/>
      <c r="V21" s="97"/>
      <c r="W21" s="93"/>
      <c r="X21" s="97"/>
      <c r="Y21" s="93"/>
      <c r="Z21" s="97"/>
      <c r="AA21" s="93"/>
      <c r="AB21" s="98"/>
      <c r="AC21" s="93"/>
      <c r="AD21" s="98"/>
      <c r="AE21" s="93"/>
      <c r="AF21" s="98"/>
      <c r="AG21" s="93"/>
      <c r="AH21" s="98"/>
      <c r="AI21" s="93"/>
      <c r="AJ21" s="98"/>
      <c r="AK21" s="93"/>
      <c r="AL21" s="98"/>
      <c r="AM21" s="93"/>
      <c r="AN21" s="98"/>
      <c r="AO21" s="93"/>
      <c r="AP21" s="98"/>
    </row>
    <row r="22" spans="1:42" s="92" customFormat="1" ht="12.75">
      <c r="A22" s="92" t="s">
        <v>291</v>
      </c>
      <c r="B22" s="92">
        <v>18</v>
      </c>
      <c r="C22" s="92" t="s">
        <v>361</v>
      </c>
      <c r="D22" s="96">
        <v>0</v>
      </c>
      <c r="E22" s="93"/>
      <c r="F22" s="97">
        <v>37.444620574726656</v>
      </c>
      <c r="G22" s="97">
        <f t="shared" si="0"/>
        <v>37.444620574726656</v>
      </c>
      <c r="H22" s="97">
        <f t="shared" si="1"/>
        <v>0</v>
      </c>
      <c r="I22" s="93"/>
      <c r="J22" s="97">
        <v>22.442582627849</v>
      </c>
      <c r="K22" s="97">
        <f t="shared" si="2"/>
        <v>22.442582627849</v>
      </c>
      <c r="L22" s="97">
        <f t="shared" si="3"/>
        <v>0</v>
      </c>
      <c r="M22" s="93"/>
      <c r="N22" s="97">
        <v>46.55842100136373</v>
      </c>
      <c r="O22" s="97">
        <f t="shared" si="4"/>
        <v>46.55842100136373</v>
      </c>
      <c r="P22" s="97">
        <f t="shared" si="5"/>
        <v>0</v>
      </c>
      <c r="Q22" s="93"/>
      <c r="R22" s="97"/>
      <c r="S22" s="93"/>
      <c r="T22" s="97"/>
      <c r="U22" s="93"/>
      <c r="V22" s="97"/>
      <c r="W22" s="93"/>
      <c r="X22" s="97"/>
      <c r="Y22" s="93"/>
      <c r="Z22" s="97"/>
      <c r="AA22" s="93"/>
      <c r="AB22" s="98"/>
      <c r="AC22" s="93"/>
      <c r="AD22" s="98"/>
      <c r="AE22" s="93"/>
      <c r="AF22" s="98"/>
      <c r="AG22" s="93"/>
      <c r="AH22" s="98"/>
      <c r="AI22" s="93"/>
      <c r="AJ22" s="98"/>
      <c r="AK22" s="93"/>
      <c r="AL22" s="98"/>
      <c r="AM22" s="93"/>
      <c r="AN22" s="98"/>
      <c r="AO22" s="93"/>
      <c r="AP22" s="98"/>
    </row>
    <row r="23" spans="1:42" s="92" customFormat="1" ht="12.75">
      <c r="A23" s="92" t="s">
        <v>291</v>
      </c>
      <c r="B23" s="92">
        <v>19</v>
      </c>
      <c r="C23" s="92" t="s">
        <v>362</v>
      </c>
      <c r="D23" s="96">
        <v>0.05</v>
      </c>
      <c r="E23" s="93"/>
      <c r="F23" s="97">
        <v>2.382839491118969</v>
      </c>
      <c r="G23" s="97">
        <f t="shared" si="0"/>
        <v>2.382839491118969</v>
      </c>
      <c r="H23" s="97">
        <f t="shared" si="1"/>
        <v>0.11914197455594847</v>
      </c>
      <c r="I23" s="93"/>
      <c r="J23" s="97">
        <v>1.329173458596977</v>
      </c>
      <c r="K23" s="97">
        <f t="shared" si="2"/>
        <v>1.329173458596977</v>
      </c>
      <c r="L23" s="97">
        <f t="shared" si="3"/>
        <v>0.06645867292984885</v>
      </c>
      <c r="M23" s="93"/>
      <c r="N23" s="97">
        <v>3.1802491233197</v>
      </c>
      <c r="O23" s="97">
        <f t="shared" si="4"/>
        <v>3.1802491233197</v>
      </c>
      <c r="P23" s="97">
        <f t="shared" si="5"/>
        <v>0.15901245616598503</v>
      </c>
      <c r="Q23" s="93"/>
      <c r="R23" s="97"/>
      <c r="S23" s="93"/>
      <c r="T23" s="97"/>
      <c r="U23" s="93"/>
      <c r="V23" s="97"/>
      <c r="W23" s="93"/>
      <c r="X23" s="97"/>
      <c r="Y23" s="93"/>
      <c r="Z23" s="97"/>
      <c r="AA23" s="93"/>
      <c r="AB23" s="98"/>
      <c r="AC23" s="93"/>
      <c r="AD23" s="98"/>
      <c r="AE23" s="93"/>
      <c r="AF23" s="98"/>
      <c r="AG23" s="93"/>
      <c r="AH23" s="98"/>
      <c r="AI23" s="93"/>
      <c r="AJ23" s="98"/>
      <c r="AK23" s="93"/>
      <c r="AL23" s="98"/>
      <c r="AM23" s="93"/>
      <c r="AN23" s="98"/>
      <c r="AO23" s="93"/>
      <c r="AP23" s="98"/>
    </row>
    <row r="24" spans="1:42" s="92" customFormat="1" ht="12.75">
      <c r="A24" s="92" t="s">
        <v>291</v>
      </c>
      <c r="B24" s="92">
        <v>20</v>
      </c>
      <c r="C24" s="92" t="s">
        <v>363</v>
      </c>
      <c r="D24" s="96">
        <v>0.5</v>
      </c>
      <c r="E24" s="93"/>
      <c r="F24" s="97">
        <v>2.62163150835264</v>
      </c>
      <c r="G24" s="97">
        <f t="shared" si="0"/>
        <v>2.62163150835264</v>
      </c>
      <c r="H24" s="97">
        <f t="shared" si="1"/>
        <v>1.31081575417632</v>
      </c>
      <c r="I24" s="93"/>
      <c r="J24" s="97">
        <v>1.329173458596977</v>
      </c>
      <c r="K24" s="97">
        <f t="shared" si="2"/>
        <v>1.329173458596977</v>
      </c>
      <c r="L24" s="97">
        <f t="shared" si="3"/>
        <v>0.6645867292984885</v>
      </c>
      <c r="M24" s="93"/>
      <c r="N24" s="97">
        <v>3.02576466004286</v>
      </c>
      <c r="O24" s="97">
        <f t="shared" si="4"/>
        <v>3.02576466004286</v>
      </c>
      <c r="P24" s="97">
        <f t="shared" si="5"/>
        <v>1.51288233002143</v>
      </c>
      <c r="Q24" s="93"/>
      <c r="R24" s="97"/>
      <c r="S24" s="93"/>
      <c r="T24" s="97"/>
      <c r="U24" s="93"/>
      <c r="V24" s="97"/>
      <c r="W24" s="93"/>
      <c r="X24" s="97"/>
      <c r="Y24" s="93"/>
      <c r="Z24" s="97"/>
      <c r="AA24" s="93"/>
      <c r="AB24" s="98"/>
      <c r="AC24" s="93"/>
      <c r="AD24" s="98"/>
      <c r="AE24" s="93"/>
      <c r="AF24" s="98"/>
      <c r="AG24" s="93"/>
      <c r="AH24" s="98"/>
      <c r="AI24" s="93"/>
      <c r="AJ24" s="98"/>
      <c r="AK24" s="93"/>
      <c r="AL24" s="98"/>
      <c r="AM24" s="93"/>
      <c r="AN24" s="98"/>
      <c r="AO24" s="93"/>
      <c r="AP24" s="98"/>
    </row>
    <row r="25" spans="1:42" s="92" customFormat="1" ht="12.75">
      <c r="A25" s="92" t="s">
        <v>291</v>
      </c>
      <c r="B25" s="92">
        <v>21</v>
      </c>
      <c r="C25" s="92" t="s">
        <v>364</v>
      </c>
      <c r="D25" s="96">
        <v>0</v>
      </c>
      <c r="E25" s="93"/>
      <c r="F25" s="97">
        <v>59.52018046579685</v>
      </c>
      <c r="G25" s="97">
        <f t="shared" si="0"/>
        <v>59.52018046579685</v>
      </c>
      <c r="H25" s="97">
        <f t="shared" si="1"/>
        <v>0</v>
      </c>
      <c r="I25" s="93"/>
      <c r="J25" s="97">
        <v>30.417623379430815</v>
      </c>
      <c r="K25" s="97">
        <f t="shared" si="2"/>
        <v>30.417623379430815</v>
      </c>
      <c r="L25" s="97">
        <f t="shared" si="3"/>
        <v>0</v>
      </c>
      <c r="M25" s="93"/>
      <c r="N25" s="97">
        <v>75.297858221313</v>
      </c>
      <c r="O25" s="97">
        <f t="shared" si="4"/>
        <v>75.297858221313</v>
      </c>
      <c r="P25" s="97">
        <f t="shared" si="5"/>
        <v>0</v>
      </c>
      <c r="Q25" s="93"/>
      <c r="R25" s="97"/>
      <c r="S25" s="93"/>
      <c r="T25" s="97"/>
      <c r="U25" s="93"/>
      <c r="V25" s="97"/>
      <c r="W25" s="93"/>
      <c r="X25" s="97"/>
      <c r="Y25" s="93"/>
      <c r="Z25" s="97"/>
      <c r="AA25" s="93"/>
      <c r="AB25" s="98"/>
      <c r="AC25" s="93"/>
      <c r="AD25" s="98"/>
      <c r="AE25" s="93"/>
      <c r="AF25" s="98"/>
      <c r="AG25" s="93"/>
      <c r="AH25" s="98"/>
      <c r="AI25" s="93"/>
      <c r="AJ25" s="98"/>
      <c r="AK25" s="93"/>
      <c r="AL25" s="98"/>
      <c r="AM25" s="93"/>
      <c r="AN25" s="98"/>
      <c r="AO25" s="93"/>
      <c r="AP25" s="98"/>
    </row>
    <row r="26" spans="1:42" s="92" customFormat="1" ht="12.75">
      <c r="A26" s="92" t="s">
        <v>291</v>
      </c>
      <c r="B26" s="92">
        <v>22</v>
      </c>
      <c r="C26" s="92" t="s">
        <v>365</v>
      </c>
      <c r="D26" s="96">
        <v>0</v>
      </c>
      <c r="E26" s="93"/>
      <c r="F26" s="97">
        <v>64.52465146526846</v>
      </c>
      <c r="G26" s="97">
        <f t="shared" si="0"/>
        <v>64.52465146526846</v>
      </c>
      <c r="H26" s="97">
        <f t="shared" si="1"/>
        <v>0</v>
      </c>
      <c r="I26" s="93"/>
      <c r="J26" s="97">
        <v>33.07597029662477</v>
      </c>
      <c r="K26" s="97">
        <f t="shared" si="2"/>
        <v>33.07597029662477</v>
      </c>
      <c r="L26" s="97">
        <f t="shared" si="3"/>
        <v>0</v>
      </c>
      <c r="M26" s="93"/>
      <c r="N26" s="97">
        <v>81.50387200467564</v>
      </c>
      <c r="O26" s="97">
        <f t="shared" si="4"/>
        <v>81.50387200467564</v>
      </c>
      <c r="P26" s="97">
        <f t="shared" si="5"/>
        <v>0</v>
      </c>
      <c r="Q26" s="93"/>
      <c r="R26" s="97"/>
      <c r="S26" s="93"/>
      <c r="T26" s="97"/>
      <c r="U26" s="93"/>
      <c r="V26" s="97"/>
      <c r="W26" s="93"/>
      <c r="X26" s="97"/>
      <c r="Y26" s="93"/>
      <c r="Z26" s="97"/>
      <c r="AA26" s="93"/>
      <c r="AB26" s="98"/>
      <c r="AC26" s="93"/>
      <c r="AD26" s="98"/>
      <c r="AE26" s="93"/>
      <c r="AF26" s="98"/>
      <c r="AG26" s="93"/>
      <c r="AH26" s="98"/>
      <c r="AI26" s="93"/>
      <c r="AJ26" s="98"/>
      <c r="AK26" s="93"/>
      <c r="AL26" s="98"/>
      <c r="AM26" s="93"/>
      <c r="AN26" s="98"/>
      <c r="AO26" s="93"/>
      <c r="AP26" s="98"/>
    </row>
    <row r="27" spans="1:42" s="92" customFormat="1" ht="12.75">
      <c r="A27" s="92" t="s">
        <v>291</v>
      </c>
      <c r="B27" s="92">
        <v>23</v>
      </c>
      <c r="C27" s="92" t="s">
        <v>366</v>
      </c>
      <c r="D27" s="96">
        <v>0.1</v>
      </c>
      <c r="E27" s="93"/>
      <c r="F27" s="97">
        <v>8.484737633621917</v>
      </c>
      <c r="G27" s="97">
        <f t="shared" si="0"/>
        <v>8.484737633621917</v>
      </c>
      <c r="H27" s="97">
        <f t="shared" si="1"/>
        <v>0.8484737633621917</v>
      </c>
      <c r="I27" s="93"/>
      <c r="J27" s="97">
        <v>3.420065553082222</v>
      </c>
      <c r="K27" s="97">
        <f t="shared" si="2"/>
        <v>3.420065553082222</v>
      </c>
      <c r="L27" s="97">
        <f t="shared" si="3"/>
        <v>0.3420065553082222</v>
      </c>
      <c r="M27" s="93"/>
      <c r="N27" s="97">
        <v>10.867182933956752</v>
      </c>
      <c r="O27" s="97">
        <f t="shared" si="4"/>
        <v>10.867182933956752</v>
      </c>
      <c r="P27" s="97">
        <f t="shared" si="5"/>
        <v>1.0867182933956752</v>
      </c>
      <c r="Q27" s="93"/>
      <c r="R27" s="97"/>
      <c r="S27" s="93"/>
      <c r="T27" s="97"/>
      <c r="U27" s="93"/>
      <c r="V27" s="97"/>
      <c r="W27" s="93"/>
      <c r="X27" s="97"/>
      <c r="Y27" s="93"/>
      <c r="Z27" s="97"/>
      <c r="AA27" s="93"/>
      <c r="AB27" s="98"/>
      <c r="AC27" s="93"/>
      <c r="AD27" s="98"/>
      <c r="AE27" s="93"/>
      <c r="AF27" s="98"/>
      <c r="AG27" s="93"/>
      <c r="AH27" s="98"/>
      <c r="AI27" s="93"/>
      <c r="AJ27" s="98"/>
      <c r="AK27" s="93"/>
      <c r="AL27" s="98"/>
      <c r="AM27" s="93"/>
      <c r="AN27" s="98"/>
      <c r="AO27" s="93"/>
      <c r="AP27" s="98"/>
    </row>
    <row r="28" spans="1:42" s="92" customFormat="1" ht="12.75">
      <c r="A28" s="92" t="s">
        <v>291</v>
      </c>
      <c r="B28" s="92">
        <v>24</v>
      </c>
      <c r="C28" s="92" t="s">
        <v>367</v>
      </c>
      <c r="D28" s="96">
        <v>0.1</v>
      </c>
      <c r="E28" s="93"/>
      <c r="F28" s="97">
        <v>7.46860139007438</v>
      </c>
      <c r="G28" s="97">
        <f t="shared" si="0"/>
        <v>7.46860139007438</v>
      </c>
      <c r="H28" s="97">
        <f t="shared" si="1"/>
        <v>0.7468601390074381</v>
      </c>
      <c r="I28" s="93"/>
      <c r="J28" s="97">
        <v>3.154230861362826</v>
      </c>
      <c r="K28" s="97">
        <f t="shared" si="2"/>
        <v>3.154230861362826</v>
      </c>
      <c r="L28" s="97">
        <f t="shared" si="3"/>
        <v>0.3154230861362826</v>
      </c>
      <c r="M28" s="93"/>
      <c r="N28" s="97">
        <v>8.949444769140854</v>
      </c>
      <c r="O28" s="97">
        <f t="shared" si="4"/>
        <v>8.949444769140854</v>
      </c>
      <c r="P28" s="97">
        <f t="shared" si="5"/>
        <v>0.8949444769140854</v>
      </c>
      <c r="Q28" s="93"/>
      <c r="R28" s="97"/>
      <c r="S28" s="93"/>
      <c r="T28" s="97"/>
      <c r="U28" s="93"/>
      <c r="V28" s="97"/>
      <c r="W28" s="93"/>
      <c r="X28" s="97"/>
      <c r="Y28" s="93"/>
      <c r="Z28" s="97"/>
      <c r="AA28" s="93"/>
      <c r="AB28" s="98"/>
      <c r="AC28" s="93"/>
      <c r="AD28" s="98"/>
      <c r="AE28" s="93"/>
      <c r="AF28" s="98"/>
      <c r="AG28" s="93"/>
      <c r="AH28" s="98"/>
      <c r="AI28" s="93"/>
      <c r="AJ28" s="98"/>
      <c r="AK28" s="93"/>
      <c r="AL28" s="98"/>
      <c r="AM28" s="93"/>
      <c r="AN28" s="98"/>
      <c r="AO28" s="93"/>
      <c r="AP28" s="98"/>
    </row>
    <row r="29" spans="1:42" s="92" customFormat="1" ht="12.75">
      <c r="A29" s="92" t="s">
        <v>291</v>
      </c>
      <c r="B29" s="92">
        <v>25</v>
      </c>
      <c r="C29" s="92" t="s">
        <v>368</v>
      </c>
      <c r="D29" s="96">
        <v>0.1</v>
      </c>
      <c r="E29" s="93"/>
      <c r="F29" s="97">
        <v>0.6147624273462585</v>
      </c>
      <c r="G29" s="97">
        <f t="shared" si="0"/>
        <v>0.6147624273462585</v>
      </c>
      <c r="H29" s="97">
        <f t="shared" si="1"/>
        <v>0.061476242734625854</v>
      </c>
      <c r="I29" s="93"/>
      <c r="J29" s="97">
        <v>0.14467541876267</v>
      </c>
      <c r="K29" s="97">
        <f t="shared" si="2"/>
        <v>0.14467541876267</v>
      </c>
      <c r="L29" s="97">
        <f t="shared" si="3"/>
        <v>0.014467541876267002</v>
      </c>
      <c r="M29" s="93"/>
      <c r="N29" s="97">
        <v>0.8150387200467564</v>
      </c>
      <c r="O29" s="97">
        <f t="shared" si="4"/>
        <v>0.8150387200467564</v>
      </c>
      <c r="P29" s="97">
        <f t="shared" si="5"/>
        <v>0.08150387200467564</v>
      </c>
      <c r="Q29" s="93"/>
      <c r="R29" s="97"/>
      <c r="S29" s="93"/>
      <c r="T29" s="97"/>
      <c r="U29" s="93"/>
      <c r="V29" s="97"/>
      <c r="W29" s="93"/>
      <c r="X29" s="97"/>
      <c r="Y29" s="93"/>
      <c r="Z29" s="97"/>
      <c r="AA29" s="93"/>
      <c r="AB29" s="98"/>
      <c r="AC29" s="93"/>
      <c r="AD29" s="98"/>
      <c r="AE29" s="93"/>
      <c r="AF29" s="98"/>
      <c r="AG29" s="93"/>
      <c r="AH29" s="98"/>
      <c r="AI29" s="93"/>
      <c r="AJ29" s="98"/>
      <c r="AK29" s="93"/>
      <c r="AL29" s="98"/>
      <c r="AM29" s="93"/>
      <c r="AN29" s="98"/>
      <c r="AO29" s="93"/>
      <c r="AP29" s="98"/>
    </row>
    <row r="30" spans="1:42" s="92" customFormat="1" ht="12.75">
      <c r="A30" s="92" t="s">
        <v>291</v>
      </c>
      <c r="B30" s="92">
        <v>26</v>
      </c>
      <c r="C30" s="92" t="s">
        <v>369</v>
      </c>
      <c r="D30" s="96">
        <v>0.1</v>
      </c>
      <c r="E30" s="93"/>
      <c r="F30" s="97">
        <v>3.4040564158842415</v>
      </c>
      <c r="G30" s="97">
        <f t="shared" si="0"/>
        <v>3.4040564158842415</v>
      </c>
      <c r="H30" s="97">
        <f t="shared" si="1"/>
        <v>0.3404056415884242</v>
      </c>
      <c r="I30" s="93"/>
      <c r="J30" s="97">
        <v>1.3700711034768842</v>
      </c>
      <c r="K30" s="97">
        <f t="shared" si="2"/>
        <v>1.3700711034768842</v>
      </c>
      <c r="L30" s="97">
        <f t="shared" si="3"/>
        <v>0.13700711034768842</v>
      </c>
      <c r="M30" s="93"/>
      <c r="N30" s="97">
        <v>3.8834197837522</v>
      </c>
      <c r="O30" s="97">
        <f t="shared" si="4"/>
        <v>3.8834197837522</v>
      </c>
      <c r="P30" s="97">
        <f t="shared" si="5"/>
        <v>0.38834197837522</v>
      </c>
      <c r="Q30" s="93"/>
      <c r="R30" s="97"/>
      <c r="S30" s="93"/>
      <c r="T30" s="97"/>
      <c r="U30" s="93"/>
      <c r="V30" s="97"/>
      <c r="W30" s="93"/>
      <c r="X30" s="97"/>
      <c r="Y30" s="93"/>
      <c r="Z30" s="97"/>
      <c r="AA30" s="93"/>
      <c r="AB30" s="98"/>
      <c r="AC30" s="93"/>
      <c r="AD30" s="98"/>
      <c r="AE30" s="93"/>
      <c r="AF30" s="98"/>
      <c r="AG30" s="93"/>
      <c r="AH30" s="98"/>
      <c r="AI30" s="93"/>
      <c r="AJ30" s="98"/>
      <c r="AK30" s="93"/>
      <c r="AL30" s="98"/>
      <c r="AM30" s="93"/>
      <c r="AN30" s="98"/>
      <c r="AO30" s="93"/>
      <c r="AP30" s="98"/>
    </row>
    <row r="31" spans="1:42" s="92" customFormat="1" ht="12.75">
      <c r="A31" s="92" t="s">
        <v>291</v>
      </c>
      <c r="B31" s="92">
        <v>27</v>
      </c>
      <c r="C31" s="92" t="s">
        <v>370</v>
      </c>
      <c r="D31" s="96">
        <v>0</v>
      </c>
      <c r="E31" s="93"/>
      <c r="F31" s="97">
        <v>58.270332886233376</v>
      </c>
      <c r="G31" s="97">
        <f t="shared" si="0"/>
        <v>58.270332886233376</v>
      </c>
      <c r="H31" s="97">
        <f t="shared" si="1"/>
        <v>0</v>
      </c>
      <c r="I31" s="93"/>
      <c r="J31" s="97">
        <v>22.32858044274622</v>
      </c>
      <c r="K31" s="97">
        <f t="shared" si="2"/>
        <v>22.32858044274622</v>
      </c>
      <c r="L31" s="97">
        <f t="shared" si="3"/>
        <v>0</v>
      </c>
      <c r="M31" s="93"/>
      <c r="N31" s="97">
        <v>68.70829680498734</v>
      </c>
      <c r="O31" s="97">
        <f t="shared" si="4"/>
        <v>68.70829680498734</v>
      </c>
      <c r="P31" s="97">
        <f t="shared" si="5"/>
        <v>0</v>
      </c>
      <c r="Q31" s="93"/>
      <c r="R31" s="97"/>
      <c r="S31" s="93"/>
      <c r="T31" s="97"/>
      <c r="U31" s="93"/>
      <c r="V31" s="97"/>
      <c r="W31" s="93"/>
      <c r="X31" s="97"/>
      <c r="Y31" s="93"/>
      <c r="Z31" s="97"/>
      <c r="AA31" s="93"/>
      <c r="AB31" s="98"/>
      <c r="AC31" s="93"/>
      <c r="AD31" s="98"/>
      <c r="AE31" s="93"/>
      <c r="AF31" s="98"/>
      <c r="AG31" s="93"/>
      <c r="AH31" s="98"/>
      <c r="AI31" s="93"/>
      <c r="AJ31" s="98"/>
      <c r="AK31" s="93"/>
      <c r="AL31" s="98"/>
      <c r="AM31" s="93"/>
      <c r="AN31" s="98"/>
      <c r="AO31" s="93"/>
      <c r="AP31" s="98"/>
    </row>
    <row r="32" spans="1:42" s="92" customFormat="1" ht="12.75">
      <c r="A32" s="92" t="s">
        <v>291</v>
      </c>
      <c r="B32" s="92">
        <v>28</v>
      </c>
      <c r="C32" s="92" t="s">
        <v>371</v>
      </c>
      <c r="D32" s="96">
        <v>0</v>
      </c>
      <c r="E32" s="93"/>
      <c r="F32" s="97">
        <v>78.24249075316018</v>
      </c>
      <c r="G32" s="97">
        <f t="shared" si="0"/>
        <v>78.24249075316018</v>
      </c>
      <c r="H32" s="97">
        <f t="shared" si="1"/>
        <v>0</v>
      </c>
      <c r="I32" s="93"/>
      <c r="J32" s="97">
        <v>30.41762337943082</v>
      </c>
      <c r="K32" s="97">
        <f t="shared" si="2"/>
        <v>30.41762337943082</v>
      </c>
      <c r="L32" s="97">
        <f t="shared" si="3"/>
        <v>0</v>
      </c>
      <c r="M32" s="93"/>
      <c r="N32" s="97">
        <v>93.2233830118839</v>
      </c>
      <c r="O32" s="97">
        <f t="shared" si="4"/>
        <v>93.2233830118839</v>
      </c>
      <c r="P32" s="97">
        <f t="shared" si="5"/>
        <v>0</v>
      </c>
      <c r="Q32" s="93"/>
      <c r="R32" s="97"/>
      <c r="S32" s="93"/>
      <c r="T32" s="97"/>
      <c r="U32" s="93"/>
      <c r="V32" s="97"/>
      <c r="W32" s="93"/>
      <c r="X32" s="97"/>
      <c r="Y32" s="93"/>
      <c r="Z32" s="97"/>
      <c r="AA32" s="93"/>
      <c r="AB32" s="98"/>
      <c r="AC32" s="93"/>
      <c r="AD32" s="98"/>
      <c r="AE32" s="93"/>
      <c r="AF32" s="98"/>
      <c r="AG32" s="93"/>
      <c r="AH32" s="98"/>
      <c r="AI32" s="93"/>
      <c r="AJ32" s="98"/>
      <c r="AK32" s="93"/>
      <c r="AL32" s="98"/>
      <c r="AM32" s="93"/>
      <c r="AN32" s="98"/>
      <c r="AO32" s="93"/>
      <c r="AP32" s="98"/>
    </row>
    <row r="33" spans="1:42" s="92" customFormat="1" ht="12.75">
      <c r="A33" s="92" t="s">
        <v>291</v>
      </c>
      <c r="B33" s="92">
        <v>29</v>
      </c>
      <c r="C33" s="92" t="s">
        <v>372</v>
      </c>
      <c r="D33" s="96">
        <v>0.01</v>
      </c>
      <c r="E33" s="93"/>
      <c r="F33" s="97">
        <v>27.89293988537983</v>
      </c>
      <c r="G33" s="97">
        <f t="shared" si="0"/>
        <v>27.89293988537983</v>
      </c>
      <c r="H33" s="97">
        <f t="shared" si="1"/>
        <v>0.2789293988537983</v>
      </c>
      <c r="I33" s="93"/>
      <c r="J33" s="97">
        <v>10.275533276076631</v>
      </c>
      <c r="K33" s="97">
        <f t="shared" si="2"/>
        <v>10.275533276076631</v>
      </c>
      <c r="L33" s="97">
        <f t="shared" si="3"/>
        <v>0.10275533276076632</v>
      </c>
      <c r="M33" s="93"/>
      <c r="N33" s="97">
        <v>29.511859536333535</v>
      </c>
      <c r="O33" s="97">
        <f t="shared" si="4"/>
        <v>29.511859536333535</v>
      </c>
      <c r="P33" s="97">
        <f t="shared" si="5"/>
        <v>0.29511859536333535</v>
      </c>
      <c r="Q33" s="93"/>
      <c r="R33" s="97"/>
      <c r="S33" s="93"/>
      <c r="T33" s="97"/>
      <c r="U33" s="93"/>
      <c r="V33" s="97"/>
      <c r="W33" s="93"/>
      <c r="X33" s="97"/>
      <c r="Y33" s="93"/>
      <c r="Z33" s="97"/>
      <c r="AA33" s="93"/>
      <c r="AB33" s="98"/>
      <c r="AC33" s="93"/>
      <c r="AD33" s="98"/>
      <c r="AE33" s="93"/>
      <c r="AF33" s="98"/>
      <c r="AG33" s="93"/>
      <c r="AH33" s="98"/>
      <c r="AI33" s="93"/>
      <c r="AJ33" s="98"/>
      <c r="AK33" s="93"/>
      <c r="AL33" s="98"/>
      <c r="AM33" s="93"/>
      <c r="AN33" s="98"/>
      <c r="AO33" s="93"/>
      <c r="AP33" s="98"/>
    </row>
    <row r="34" spans="1:42" s="92" customFormat="1" ht="12.75">
      <c r="A34" s="92" t="s">
        <v>291</v>
      </c>
      <c r="B34" s="92">
        <v>30</v>
      </c>
      <c r="C34" s="92" t="s">
        <v>373</v>
      </c>
      <c r="D34" s="96">
        <v>0.01</v>
      </c>
      <c r="E34" s="93"/>
      <c r="F34" s="97">
        <v>1.666463439417957</v>
      </c>
      <c r="G34" s="97">
        <f t="shared" si="0"/>
        <v>1.666463439417957</v>
      </c>
      <c r="H34" s="97">
        <f t="shared" si="1"/>
        <v>0.01666463439417957</v>
      </c>
      <c r="I34" s="93"/>
      <c r="J34" s="97">
        <v>0.41817841889704893</v>
      </c>
      <c r="K34" s="97">
        <f t="shared" si="2"/>
        <v>0.41817841889704893</v>
      </c>
      <c r="L34" s="97">
        <f t="shared" si="3"/>
        <v>0.0041817841889704895</v>
      </c>
      <c r="M34" s="93"/>
      <c r="N34" s="97">
        <v>1.6673667932982665</v>
      </c>
      <c r="O34" s="97">
        <f t="shared" si="4"/>
        <v>1.6673667932982665</v>
      </c>
      <c r="P34" s="97">
        <f t="shared" si="5"/>
        <v>0.016673667932982666</v>
      </c>
      <c r="Q34" s="93"/>
      <c r="R34" s="97"/>
      <c r="S34" s="93"/>
      <c r="T34" s="97"/>
      <c r="U34" s="93"/>
      <c r="V34" s="97"/>
      <c r="W34" s="93"/>
      <c r="X34" s="97"/>
      <c r="Y34" s="93"/>
      <c r="Z34" s="97"/>
      <c r="AA34" s="93"/>
      <c r="AB34" s="98"/>
      <c r="AC34" s="93"/>
      <c r="AD34" s="98"/>
      <c r="AE34" s="93"/>
      <c r="AF34" s="98"/>
      <c r="AG34" s="93"/>
      <c r="AH34" s="98"/>
      <c r="AI34" s="93"/>
      <c r="AJ34" s="98"/>
      <c r="AK34" s="93"/>
      <c r="AL34" s="98"/>
      <c r="AM34" s="93"/>
      <c r="AN34" s="98"/>
      <c r="AO34" s="93"/>
      <c r="AP34" s="98"/>
    </row>
    <row r="35" spans="1:42" s="92" customFormat="1" ht="12.75">
      <c r="A35" s="92" t="s">
        <v>291</v>
      </c>
      <c r="B35" s="92">
        <v>31</v>
      </c>
      <c r="C35" s="92" t="s">
        <v>374</v>
      </c>
      <c r="D35" s="96">
        <v>0</v>
      </c>
      <c r="E35" s="93"/>
      <c r="F35" s="97">
        <v>14.69333008169735</v>
      </c>
      <c r="G35" s="97">
        <f t="shared" si="0"/>
        <v>14.69333008169735</v>
      </c>
      <c r="H35" s="97">
        <f t="shared" si="1"/>
        <v>0</v>
      </c>
      <c r="I35" s="93"/>
      <c r="J35" s="97">
        <v>3.364853732494348</v>
      </c>
      <c r="K35" s="97">
        <f t="shared" si="2"/>
        <v>3.364853732494348</v>
      </c>
      <c r="L35" s="97">
        <f t="shared" si="3"/>
        <v>0</v>
      </c>
      <c r="M35" s="93"/>
      <c r="N35" s="97">
        <v>11.490447837522</v>
      </c>
      <c r="O35" s="97">
        <f t="shared" si="4"/>
        <v>11.490447837522</v>
      </c>
      <c r="P35" s="97">
        <f t="shared" si="5"/>
        <v>0</v>
      </c>
      <c r="Q35" s="93"/>
      <c r="R35" s="97"/>
      <c r="S35" s="93"/>
      <c r="T35" s="97"/>
      <c r="U35" s="93"/>
      <c r="V35" s="97"/>
      <c r="W35" s="93"/>
      <c r="X35" s="97"/>
      <c r="Y35" s="93"/>
      <c r="Z35" s="97"/>
      <c r="AA35" s="93"/>
      <c r="AB35" s="98"/>
      <c r="AC35" s="93"/>
      <c r="AD35" s="98"/>
      <c r="AE35" s="93"/>
      <c r="AF35" s="98"/>
      <c r="AG35" s="93"/>
      <c r="AH35" s="98"/>
      <c r="AI35" s="93"/>
      <c r="AJ35" s="98"/>
      <c r="AK35" s="93"/>
      <c r="AL35" s="98"/>
      <c r="AM35" s="93"/>
      <c r="AN35" s="98"/>
      <c r="AO35" s="93"/>
      <c r="AP35" s="98"/>
    </row>
    <row r="36" spans="1:42" s="92" customFormat="1" ht="12.75">
      <c r="A36" s="92" t="s">
        <v>291</v>
      </c>
      <c r="B36" s="92">
        <v>32</v>
      </c>
      <c r="C36" s="92" t="s">
        <v>375</v>
      </c>
      <c r="D36" s="96">
        <v>0</v>
      </c>
      <c r="E36" s="93"/>
      <c r="F36" s="97">
        <v>44.25273340649514</v>
      </c>
      <c r="G36" s="97">
        <f t="shared" si="0"/>
        <v>44.25273340649514</v>
      </c>
      <c r="H36" s="97">
        <f t="shared" si="1"/>
        <v>0</v>
      </c>
      <c r="I36" s="93"/>
      <c r="J36" s="97">
        <v>14.058565427468</v>
      </c>
      <c r="K36" s="97">
        <f t="shared" si="2"/>
        <v>14.058565427468</v>
      </c>
      <c r="L36" s="97">
        <f t="shared" si="3"/>
        <v>0</v>
      </c>
      <c r="M36" s="93"/>
      <c r="N36" s="97">
        <v>42.66967416715372</v>
      </c>
      <c r="O36" s="97">
        <f t="shared" si="4"/>
        <v>42.66967416715372</v>
      </c>
      <c r="P36" s="97">
        <f t="shared" si="5"/>
        <v>0</v>
      </c>
      <c r="Q36" s="93"/>
      <c r="R36" s="97"/>
      <c r="S36" s="93"/>
      <c r="T36" s="97"/>
      <c r="U36" s="93"/>
      <c r="V36" s="97"/>
      <c r="W36" s="93"/>
      <c r="X36" s="97"/>
      <c r="Y36" s="93"/>
      <c r="Z36" s="97"/>
      <c r="AA36" s="93"/>
      <c r="AB36" s="98"/>
      <c r="AC36" s="93"/>
      <c r="AD36" s="98"/>
      <c r="AE36" s="93"/>
      <c r="AF36" s="98"/>
      <c r="AG36" s="93"/>
      <c r="AH36" s="98"/>
      <c r="AI36" s="93"/>
      <c r="AJ36" s="98"/>
      <c r="AK36" s="93"/>
      <c r="AL36" s="98"/>
      <c r="AM36" s="93"/>
      <c r="AN36" s="98"/>
      <c r="AO36" s="93"/>
      <c r="AP36" s="98"/>
    </row>
    <row r="37" spans="1:42" s="92" customFormat="1" ht="12.75">
      <c r="A37" s="92" t="s">
        <v>291</v>
      </c>
      <c r="B37" s="92">
        <v>33</v>
      </c>
      <c r="C37" s="92" t="s">
        <v>376</v>
      </c>
      <c r="D37" s="96">
        <v>0.001</v>
      </c>
      <c r="E37" s="93"/>
      <c r="F37" s="97">
        <v>2.8604235255863104</v>
      </c>
      <c r="G37" s="97">
        <f t="shared" si="0"/>
        <v>2.8604235255863104</v>
      </c>
      <c r="H37" s="97">
        <f t="shared" si="1"/>
        <v>0.0028604235255863105</v>
      </c>
      <c r="I37" s="93"/>
      <c r="J37" s="97">
        <v>0.7617186358882676</v>
      </c>
      <c r="K37" s="97">
        <f t="shared" si="2"/>
        <v>0.7617186358882676</v>
      </c>
      <c r="L37" s="97">
        <f t="shared" si="3"/>
        <v>0.0007617186358882676</v>
      </c>
      <c r="M37" s="93"/>
      <c r="N37" s="97">
        <v>3.0683810637054356</v>
      </c>
      <c r="O37" s="97">
        <f t="shared" si="4"/>
        <v>3.0683810637054356</v>
      </c>
      <c r="P37" s="97">
        <f t="shared" si="5"/>
        <v>0.0030683810637054357</v>
      </c>
      <c r="Q37" s="93"/>
      <c r="R37" s="97"/>
      <c r="S37" s="93"/>
      <c r="T37" s="97"/>
      <c r="U37" s="93"/>
      <c r="V37" s="97"/>
      <c r="W37" s="93"/>
      <c r="X37" s="97"/>
      <c r="Y37" s="93"/>
      <c r="Z37" s="97"/>
      <c r="AA37" s="93"/>
      <c r="AB37" s="98"/>
      <c r="AC37" s="93"/>
      <c r="AD37" s="98"/>
      <c r="AE37" s="93"/>
      <c r="AF37" s="98"/>
      <c r="AG37" s="93"/>
      <c r="AH37" s="98"/>
      <c r="AI37" s="93"/>
      <c r="AJ37" s="98"/>
      <c r="AK37" s="93"/>
      <c r="AL37" s="98"/>
      <c r="AM37" s="93"/>
      <c r="AN37" s="98"/>
      <c r="AO37" s="93"/>
      <c r="AP37" s="98"/>
    </row>
    <row r="38" spans="1:42" s="92" customFormat="1" ht="12.75">
      <c r="A38" s="92" t="s">
        <v>291</v>
      </c>
      <c r="B38" s="92">
        <v>34</v>
      </c>
      <c r="C38" s="92" t="s">
        <v>377</v>
      </c>
      <c r="D38" s="96"/>
      <c r="E38" s="93"/>
      <c r="F38" s="97">
        <v>240.05202617567</v>
      </c>
      <c r="G38" s="97">
        <f>SUM(G37,G36,G32,G26,G22,G19,G18,G15,G10,G7)</f>
        <v>240.05202617566965</v>
      </c>
      <c r="H38" s="97"/>
      <c r="I38" s="93"/>
      <c r="J38" s="97">
        <v>107.86549348851</v>
      </c>
      <c r="K38" s="97">
        <f>SUM(K37,K36,K32,K26,K22,K19,K18,K15,K10,K7)</f>
        <v>107.86549348851067</v>
      </c>
      <c r="L38" s="97"/>
      <c r="M38" s="93"/>
      <c r="N38" s="97">
        <v>281.4973273426846</v>
      </c>
      <c r="O38" s="97">
        <f>SUM(O37,O36,O32,O26,O22,O19,O18,O15,O10,O7)</f>
        <v>281.49732734268457</v>
      </c>
      <c r="P38" s="97"/>
      <c r="Q38" s="93"/>
      <c r="R38" s="97"/>
      <c r="S38" s="93"/>
      <c r="T38" s="97"/>
      <c r="U38" s="93"/>
      <c r="V38" s="97"/>
      <c r="W38" s="93"/>
      <c r="X38" s="97"/>
      <c r="Y38" s="93"/>
      <c r="Z38" s="97"/>
      <c r="AA38" s="93"/>
      <c r="AB38" s="98"/>
      <c r="AC38" s="93"/>
      <c r="AD38" s="98"/>
      <c r="AE38" s="93"/>
      <c r="AF38" s="98"/>
      <c r="AG38" s="93"/>
      <c r="AH38" s="98"/>
      <c r="AI38" s="93"/>
      <c r="AJ38" s="98"/>
      <c r="AK38" s="93"/>
      <c r="AL38" s="98"/>
      <c r="AM38" s="93"/>
      <c r="AN38" s="98"/>
      <c r="AO38" s="93"/>
      <c r="AP38" s="98"/>
    </row>
    <row r="39" spans="1:42" s="92" customFormat="1" ht="12.75">
      <c r="A39" s="92" t="s">
        <v>291</v>
      </c>
      <c r="B39" s="92">
        <v>35</v>
      </c>
      <c r="C39" s="92" t="s">
        <v>27</v>
      </c>
      <c r="D39" s="96"/>
      <c r="E39" s="94">
        <f>(F39-H39)*2/F39*100</f>
        <v>-4.3447529822051185E-13</v>
      </c>
      <c r="F39" s="97">
        <v>4.0885105474942</v>
      </c>
      <c r="G39" s="97"/>
      <c r="H39" s="97">
        <f>SUM(H5:H37)</f>
        <v>4.0885105474942085</v>
      </c>
      <c r="I39" s="94">
        <f>(J39-L39)*2/J39*100</f>
        <v>3.8123424904394346E-13</v>
      </c>
      <c r="J39" s="97">
        <v>1.8637956519961</v>
      </c>
      <c r="K39" s="97"/>
      <c r="L39" s="97">
        <f>SUM(L5:L37)</f>
        <v>1.8637956519960965</v>
      </c>
      <c r="M39" s="94">
        <f>(N39-P39)*2/N39*100</f>
        <v>-2.5673318874837466E-13</v>
      </c>
      <c r="N39" s="97">
        <v>4.8433542762517</v>
      </c>
      <c r="O39" s="97"/>
      <c r="P39" s="97">
        <f>SUM(P5:P37)</f>
        <v>4.843354276251707</v>
      </c>
      <c r="Q39" s="93"/>
      <c r="R39" s="97"/>
      <c r="S39" s="93"/>
      <c r="T39" s="97"/>
      <c r="U39" s="93"/>
      <c r="V39" s="97"/>
      <c r="W39" s="93"/>
      <c r="X39" s="97"/>
      <c r="Y39" s="93"/>
      <c r="Z39" s="97"/>
      <c r="AA39" s="93"/>
      <c r="AB39" s="98"/>
      <c r="AC39" s="93"/>
      <c r="AD39" s="98"/>
      <c r="AE39" s="93"/>
      <c r="AF39" s="98"/>
      <c r="AG39" s="93"/>
      <c r="AH39" s="98"/>
      <c r="AI39" s="93"/>
      <c r="AJ39" s="98"/>
      <c r="AK39" s="93"/>
      <c r="AL39" s="98"/>
      <c r="AM39" s="93"/>
      <c r="AN39" s="98"/>
      <c r="AO39" s="93"/>
      <c r="AP39" s="98"/>
    </row>
  </sheetData>
  <printOptions headings="1" horizontalCentered="1"/>
  <pageMargins left="0.25" right="0.25" top="0.5" bottom="0.5" header="0.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P39"/>
  <sheetViews>
    <sheetView workbookViewId="0" topLeftCell="C1">
      <pane ySplit="1320" topLeftCell="BM1" activePane="topLeft" state="split"/>
      <selection pane="topLeft" activeCell="B2" sqref="B2"/>
      <selection pane="bottomLeft" activeCell="B2" sqref="B2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13.28125" style="0" customWidth="1"/>
    <col min="4" max="4" width="7.00390625" style="95" customWidth="1"/>
    <col min="5" max="5" width="3.421875" style="0" customWidth="1"/>
    <col min="7" max="7" width="7.7109375" style="69" customWidth="1"/>
    <col min="8" max="8" width="8.28125" style="69" customWidth="1"/>
    <col min="9" max="9" width="3.7109375" style="0" customWidth="1"/>
    <col min="11" max="11" width="7.7109375" style="69" customWidth="1"/>
    <col min="12" max="12" width="8.28125" style="69" customWidth="1"/>
    <col min="13" max="13" width="3.421875" style="0" customWidth="1"/>
    <col min="15" max="15" width="7.7109375" style="69" customWidth="1"/>
    <col min="16" max="16" width="8.28125" style="69" customWidth="1"/>
    <col min="17" max="17" width="2.57421875" style="0" customWidth="1"/>
    <col min="19" max="19" width="2.7109375" style="0" customWidth="1"/>
    <col min="21" max="21" width="2.7109375" style="0" customWidth="1"/>
  </cols>
  <sheetData>
    <row r="1" ht="12.75">
      <c r="C1" s="6" t="s">
        <v>294</v>
      </c>
    </row>
    <row r="2" spans="6:16" ht="12.75">
      <c r="F2" s="133" t="s">
        <v>54</v>
      </c>
      <c r="G2" s="134"/>
      <c r="H2" s="134"/>
      <c r="I2" s="119"/>
      <c r="J2" s="133" t="s">
        <v>109</v>
      </c>
      <c r="K2" s="134"/>
      <c r="L2" s="134"/>
      <c r="M2" s="119"/>
      <c r="N2" s="133" t="s">
        <v>55</v>
      </c>
      <c r="O2" s="134"/>
      <c r="P2" s="134"/>
    </row>
    <row r="3" spans="4:16" ht="12.75">
      <c r="D3" s="95" t="s">
        <v>23</v>
      </c>
      <c r="F3" s="50" t="s">
        <v>25</v>
      </c>
      <c r="G3" s="110" t="s">
        <v>25</v>
      </c>
      <c r="H3" s="110" t="s">
        <v>27</v>
      </c>
      <c r="I3" s="50"/>
      <c r="J3" s="50" t="s">
        <v>25</v>
      </c>
      <c r="K3" s="110" t="s">
        <v>25</v>
      </c>
      <c r="L3" s="110" t="s">
        <v>27</v>
      </c>
      <c r="M3" s="50"/>
      <c r="N3" s="50" t="s">
        <v>25</v>
      </c>
      <c r="O3" s="110" t="s">
        <v>25</v>
      </c>
      <c r="P3" s="110" t="s">
        <v>27</v>
      </c>
    </row>
    <row r="4" spans="4:16" ht="12.75">
      <c r="D4" s="95" t="s">
        <v>342</v>
      </c>
      <c r="F4" s="50" t="s">
        <v>343</v>
      </c>
      <c r="G4" s="110" t="s">
        <v>71</v>
      </c>
      <c r="H4" s="110" t="s">
        <v>71</v>
      </c>
      <c r="I4" s="50"/>
      <c r="J4" s="50" t="s">
        <v>343</v>
      </c>
      <c r="K4" s="110" t="s">
        <v>71</v>
      </c>
      <c r="L4" s="110" t="s">
        <v>71</v>
      </c>
      <c r="M4" s="50"/>
      <c r="N4" s="50" t="s">
        <v>343</v>
      </c>
      <c r="O4" s="110" t="s">
        <v>71</v>
      </c>
      <c r="P4" s="110" t="s">
        <v>71</v>
      </c>
    </row>
    <row r="5" spans="1:42" s="92" customFormat="1" ht="12.75">
      <c r="A5" s="92" t="s">
        <v>294</v>
      </c>
      <c r="B5" s="92">
        <v>1</v>
      </c>
      <c r="C5" s="92" t="s">
        <v>344</v>
      </c>
      <c r="D5" s="96">
        <v>1</v>
      </c>
      <c r="E5" s="93"/>
      <c r="F5" s="97">
        <v>0.04747720534765342</v>
      </c>
      <c r="G5" s="97">
        <f>IF(E5=1,F5/2,F5)</f>
        <v>0.04747720534765342</v>
      </c>
      <c r="H5" s="97">
        <f>G5*$D5</f>
        <v>0.04747720534765342</v>
      </c>
      <c r="I5" s="93"/>
      <c r="J5" s="97">
        <v>0.02983591715315379</v>
      </c>
      <c r="K5" s="97">
        <f>IF(I5=1,J5/2,J5)</f>
        <v>0.02983591715315379</v>
      </c>
      <c r="L5" s="97">
        <f>K5*$D5</f>
        <v>0.02983591715315379</v>
      </c>
      <c r="M5" s="93"/>
      <c r="N5" s="97">
        <v>0.02402674519979955</v>
      </c>
      <c r="O5" s="97">
        <f>IF(M5=1,N5/2,N5)</f>
        <v>0.02402674519979955</v>
      </c>
      <c r="P5" s="97">
        <f>O5*$D5</f>
        <v>0.02402674519979955</v>
      </c>
      <c r="Q5" s="93"/>
      <c r="R5" s="97"/>
      <c r="S5" s="93"/>
      <c r="T5" s="97"/>
      <c r="U5" s="93"/>
      <c r="V5" s="97"/>
      <c r="W5" s="93"/>
      <c r="X5" s="97"/>
      <c r="Y5" s="93"/>
      <c r="Z5" s="97"/>
      <c r="AA5" s="93"/>
      <c r="AB5" s="98"/>
      <c r="AC5" s="93"/>
      <c r="AD5" s="98"/>
      <c r="AE5" s="93"/>
      <c r="AF5" s="98"/>
      <c r="AG5" s="93"/>
      <c r="AH5" s="98"/>
      <c r="AI5" s="93"/>
      <c r="AJ5" s="98"/>
      <c r="AK5" s="93"/>
      <c r="AL5" s="98"/>
      <c r="AM5" s="93"/>
      <c r="AN5" s="98"/>
      <c r="AO5" s="93"/>
      <c r="AP5" s="98"/>
    </row>
    <row r="6" spans="1:42" s="92" customFormat="1" ht="12.75">
      <c r="A6" s="92" t="s">
        <v>294</v>
      </c>
      <c r="B6" s="92">
        <v>2</v>
      </c>
      <c r="C6" s="92" t="s">
        <v>345</v>
      </c>
      <c r="D6" s="96">
        <v>0</v>
      </c>
      <c r="E6" s="93"/>
      <c r="F6" s="97">
        <v>1.01464171840913</v>
      </c>
      <c r="G6" s="97">
        <f aca="true" t="shared" si="0" ref="G6:G37">IF(E6=1,F6/2,F6)</f>
        <v>1.01464171840913</v>
      </c>
      <c r="H6" s="97">
        <f aca="true" t="shared" si="1" ref="H6:H37">G6*$D6</f>
        <v>0</v>
      </c>
      <c r="I6" s="93"/>
      <c r="J6" s="97">
        <v>0.7880797427350278</v>
      </c>
      <c r="K6" s="97">
        <f aca="true" t="shared" si="2" ref="K6:K37">IF(I6=1,J6/2,J6)</f>
        <v>0.7880797427350278</v>
      </c>
      <c r="L6" s="97">
        <f aca="true" t="shared" si="3" ref="L6:L37">K6*$D6</f>
        <v>0</v>
      </c>
      <c r="M6" s="93"/>
      <c r="N6" s="97">
        <v>0.6066753162949386</v>
      </c>
      <c r="O6" s="97">
        <f aca="true" t="shared" si="4" ref="O6:O37">IF(M6=1,N6/2,N6)</f>
        <v>0.6066753162949386</v>
      </c>
      <c r="P6" s="97">
        <f aca="true" t="shared" si="5" ref="P6:P37">O6*$D6</f>
        <v>0</v>
      </c>
      <c r="Q6" s="93"/>
      <c r="R6" s="97"/>
      <c r="S6" s="93"/>
      <c r="T6" s="97"/>
      <c r="U6" s="93"/>
      <c r="V6" s="97"/>
      <c r="W6" s="93"/>
      <c r="X6" s="97"/>
      <c r="Y6" s="93"/>
      <c r="Z6" s="97"/>
      <c r="AA6" s="93"/>
      <c r="AB6" s="98"/>
      <c r="AC6" s="93"/>
      <c r="AD6" s="98"/>
      <c r="AE6" s="93"/>
      <c r="AF6" s="98"/>
      <c r="AG6" s="93"/>
      <c r="AH6" s="98"/>
      <c r="AI6" s="93"/>
      <c r="AJ6" s="98"/>
      <c r="AK6" s="93"/>
      <c r="AL6" s="98"/>
      <c r="AM6" s="93"/>
      <c r="AN6" s="98"/>
      <c r="AO6" s="93"/>
      <c r="AP6" s="98"/>
    </row>
    <row r="7" spans="1:42" s="92" customFormat="1" ht="12.75">
      <c r="A7" s="92" t="s">
        <v>294</v>
      </c>
      <c r="B7" s="92">
        <v>3</v>
      </c>
      <c r="C7" s="92" t="s">
        <v>346</v>
      </c>
      <c r="D7" s="96">
        <v>0</v>
      </c>
      <c r="E7" s="93"/>
      <c r="F7" s="97">
        <v>1.0621189237567825</v>
      </c>
      <c r="G7" s="97">
        <f t="shared" si="0"/>
        <v>1.0621189237567825</v>
      </c>
      <c r="H7" s="97">
        <f t="shared" si="1"/>
        <v>0</v>
      </c>
      <c r="I7" s="93"/>
      <c r="J7" s="97">
        <v>0.8179156598881816</v>
      </c>
      <c r="K7" s="97">
        <f t="shared" si="2"/>
        <v>0.8179156598881816</v>
      </c>
      <c r="L7" s="97">
        <f t="shared" si="3"/>
        <v>0</v>
      </c>
      <c r="M7" s="93"/>
      <c r="N7" s="97">
        <v>0.6307020614947382</v>
      </c>
      <c r="O7" s="97">
        <f t="shared" si="4"/>
        <v>0.6307020614947382</v>
      </c>
      <c r="P7" s="97">
        <f t="shared" si="5"/>
        <v>0</v>
      </c>
      <c r="Q7" s="93"/>
      <c r="R7" s="97"/>
      <c r="S7" s="93"/>
      <c r="T7" s="97"/>
      <c r="U7" s="93"/>
      <c r="V7" s="97"/>
      <c r="W7" s="93"/>
      <c r="X7" s="97"/>
      <c r="Y7" s="93"/>
      <c r="Z7" s="97"/>
      <c r="AA7" s="93"/>
      <c r="AB7" s="98"/>
      <c r="AC7" s="93"/>
      <c r="AD7" s="98"/>
      <c r="AE7" s="93"/>
      <c r="AF7" s="98"/>
      <c r="AG7" s="93"/>
      <c r="AH7" s="98"/>
      <c r="AI7" s="93"/>
      <c r="AJ7" s="98"/>
      <c r="AK7" s="93"/>
      <c r="AL7" s="98"/>
      <c r="AM7" s="93"/>
      <c r="AN7" s="98"/>
      <c r="AO7" s="93"/>
      <c r="AP7" s="98"/>
    </row>
    <row r="8" spans="1:42" s="92" customFormat="1" ht="12.75">
      <c r="A8" s="92" t="s">
        <v>294</v>
      </c>
      <c r="B8" s="92">
        <v>4</v>
      </c>
      <c r="C8" s="92" t="s">
        <v>347</v>
      </c>
      <c r="D8" s="96">
        <v>0.5</v>
      </c>
      <c r="E8" s="93"/>
      <c r="F8" s="97">
        <v>0.1576047435252</v>
      </c>
      <c r="G8" s="97">
        <f t="shared" si="0"/>
        <v>0.1576047435252</v>
      </c>
      <c r="H8" s="97">
        <f t="shared" si="1"/>
        <v>0.0788023717626</v>
      </c>
      <c r="I8" s="93"/>
      <c r="J8" s="97">
        <v>0.10494012240074782</v>
      </c>
      <c r="K8" s="97">
        <f t="shared" si="2"/>
        <v>0.10494012240074782</v>
      </c>
      <c r="L8" s="97">
        <f t="shared" si="3"/>
        <v>0.05247006120037391</v>
      </c>
      <c r="M8" s="93"/>
      <c r="N8" s="97">
        <v>0.08409360819929841</v>
      </c>
      <c r="O8" s="97">
        <f t="shared" si="4"/>
        <v>0.08409360819929841</v>
      </c>
      <c r="P8" s="97">
        <f t="shared" si="5"/>
        <v>0.042046804099649206</v>
      </c>
      <c r="Q8" s="93"/>
      <c r="R8" s="97"/>
      <c r="S8" s="93"/>
      <c r="T8" s="97"/>
      <c r="U8" s="93"/>
      <c r="V8" s="97"/>
      <c r="W8" s="93"/>
      <c r="X8" s="97"/>
      <c r="Y8" s="93"/>
      <c r="Z8" s="97"/>
      <c r="AA8" s="93"/>
      <c r="AB8" s="98"/>
      <c r="AC8" s="93"/>
      <c r="AD8" s="98"/>
      <c r="AE8" s="93"/>
      <c r="AF8" s="98"/>
      <c r="AG8" s="93"/>
      <c r="AH8" s="98"/>
      <c r="AI8" s="93"/>
      <c r="AJ8" s="98"/>
      <c r="AK8" s="93"/>
      <c r="AL8" s="98"/>
      <c r="AM8" s="93"/>
      <c r="AN8" s="98"/>
      <c r="AO8" s="93"/>
      <c r="AP8" s="98"/>
    </row>
    <row r="9" spans="1:42" s="92" customFormat="1" ht="12.75">
      <c r="A9" s="92" t="s">
        <v>294</v>
      </c>
      <c r="B9" s="92">
        <v>5</v>
      </c>
      <c r="C9" s="92" t="s">
        <v>348</v>
      </c>
      <c r="D9" s="96">
        <v>0</v>
      </c>
      <c r="E9" s="93"/>
      <c r="F9" s="97">
        <v>1.8100072719136326</v>
      </c>
      <c r="G9" s="97">
        <f t="shared" si="0"/>
        <v>1.8100072719136326</v>
      </c>
      <c r="H9" s="97">
        <f t="shared" si="1"/>
        <v>0</v>
      </c>
      <c r="I9" s="93"/>
      <c r="J9" s="97">
        <v>1.2582526440795547</v>
      </c>
      <c r="K9" s="97">
        <f t="shared" si="2"/>
        <v>1.2582526440795547</v>
      </c>
      <c r="L9" s="97">
        <f t="shared" si="3"/>
        <v>0</v>
      </c>
      <c r="M9" s="93"/>
      <c r="N9" s="97">
        <v>1.00912329839158</v>
      </c>
      <c r="O9" s="97">
        <f t="shared" si="4"/>
        <v>1.00912329839158</v>
      </c>
      <c r="P9" s="97">
        <f t="shared" si="5"/>
        <v>0</v>
      </c>
      <c r="Q9" s="93"/>
      <c r="R9" s="97"/>
      <c r="S9" s="93"/>
      <c r="T9" s="97"/>
      <c r="U9" s="93"/>
      <c r="V9" s="97"/>
      <c r="W9" s="93"/>
      <c r="X9" s="97"/>
      <c r="Y9" s="93"/>
      <c r="Z9" s="97"/>
      <c r="AA9" s="93"/>
      <c r="AB9" s="98"/>
      <c r="AC9" s="93"/>
      <c r="AD9" s="98"/>
      <c r="AE9" s="93"/>
      <c r="AF9" s="98"/>
      <c r="AG9" s="93"/>
      <c r="AH9" s="98"/>
      <c r="AI9" s="93"/>
      <c r="AJ9" s="98"/>
      <c r="AK9" s="93"/>
      <c r="AL9" s="98"/>
      <c r="AM9" s="93"/>
      <c r="AN9" s="98"/>
      <c r="AO9" s="93"/>
      <c r="AP9" s="98"/>
    </row>
    <row r="10" spans="1:42" s="92" customFormat="1" ht="12.75">
      <c r="A10" s="92" t="s">
        <v>294</v>
      </c>
      <c r="B10" s="92">
        <v>6</v>
      </c>
      <c r="C10" s="92" t="s">
        <v>349</v>
      </c>
      <c r="D10" s="96">
        <v>0</v>
      </c>
      <c r="E10" s="93"/>
      <c r="F10" s="97">
        <v>1.9676120154388326</v>
      </c>
      <c r="G10" s="97">
        <f t="shared" si="0"/>
        <v>1.9676120154388326</v>
      </c>
      <c r="H10" s="97">
        <f t="shared" si="1"/>
        <v>0</v>
      </c>
      <c r="I10" s="93"/>
      <c r="J10" s="97">
        <v>1.3631927664803</v>
      </c>
      <c r="K10" s="97">
        <f t="shared" si="2"/>
        <v>1.3631927664803</v>
      </c>
      <c r="L10" s="97">
        <f t="shared" si="3"/>
        <v>0</v>
      </c>
      <c r="M10" s="93"/>
      <c r="N10" s="97">
        <v>1.0932169065908794</v>
      </c>
      <c r="O10" s="97">
        <f t="shared" si="4"/>
        <v>1.0932169065908794</v>
      </c>
      <c r="P10" s="97">
        <f t="shared" si="5"/>
        <v>0</v>
      </c>
      <c r="Q10" s="93"/>
      <c r="R10" s="97"/>
      <c r="S10" s="93"/>
      <c r="T10" s="97"/>
      <c r="U10" s="93"/>
      <c r="V10" s="97"/>
      <c r="W10" s="93"/>
      <c r="X10" s="97"/>
      <c r="Y10" s="93"/>
      <c r="Z10" s="97"/>
      <c r="AA10" s="93"/>
      <c r="AB10" s="98"/>
      <c r="AC10" s="93"/>
      <c r="AD10" s="98"/>
      <c r="AE10" s="93"/>
      <c r="AF10" s="98"/>
      <c r="AG10" s="93"/>
      <c r="AH10" s="98"/>
      <c r="AI10" s="93"/>
      <c r="AJ10" s="98"/>
      <c r="AK10" s="93"/>
      <c r="AL10" s="98"/>
      <c r="AM10" s="93"/>
      <c r="AN10" s="98"/>
      <c r="AO10" s="93"/>
      <c r="AP10" s="98"/>
    </row>
    <row r="11" spans="1:42" s="92" customFormat="1" ht="12.75">
      <c r="A11" s="92" t="s">
        <v>294</v>
      </c>
      <c r="B11" s="92">
        <v>7</v>
      </c>
      <c r="C11" s="92" t="s">
        <v>350</v>
      </c>
      <c r="D11" s="96">
        <v>0.1</v>
      </c>
      <c r="E11" s="93"/>
      <c r="F11" s="97">
        <v>0.12627957711025342</v>
      </c>
      <c r="G11" s="97">
        <f t="shared" si="0"/>
        <v>0.12627957711025342</v>
      </c>
      <c r="H11" s="97">
        <f t="shared" si="1"/>
        <v>0.012627957711025343</v>
      </c>
      <c r="I11" s="93"/>
      <c r="J11" s="97">
        <v>0.074075380518175</v>
      </c>
      <c r="K11" s="97">
        <f t="shared" si="2"/>
        <v>0.074075380518175</v>
      </c>
      <c r="L11" s="97">
        <f t="shared" si="3"/>
        <v>0.0074075380518175</v>
      </c>
      <c r="M11" s="93"/>
      <c r="N11" s="97">
        <v>0.058865525739508893</v>
      </c>
      <c r="O11" s="97">
        <f t="shared" si="4"/>
        <v>0.058865525739508893</v>
      </c>
      <c r="P11" s="97">
        <f t="shared" si="5"/>
        <v>0.00588655257395089</v>
      </c>
      <c r="Q11" s="93"/>
      <c r="R11" s="97"/>
      <c r="S11" s="93"/>
      <c r="T11" s="97"/>
      <c r="U11" s="93"/>
      <c r="V11" s="97"/>
      <c r="W11" s="93"/>
      <c r="X11" s="97"/>
      <c r="Y11" s="93"/>
      <c r="Z11" s="97"/>
      <c r="AA11" s="93"/>
      <c r="AB11" s="98"/>
      <c r="AC11" s="93"/>
      <c r="AD11" s="98"/>
      <c r="AE11" s="93"/>
      <c r="AF11" s="98"/>
      <c r="AG11" s="93"/>
      <c r="AH11" s="98"/>
      <c r="AI11" s="93"/>
      <c r="AJ11" s="98"/>
      <c r="AK11" s="93"/>
      <c r="AL11" s="98"/>
      <c r="AM11" s="93"/>
      <c r="AN11" s="98"/>
      <c r="AO11" s="93"/>
      <c r="AP11" s="98"/>
    </row>
    <row r="12" spans="1:42" s="92" customFormat="1" ht="12.75">
      <c r="A12" s="92" t="s">
        <v>294</v>
      </c>
      <c r="B12" s="92">
        <v>8</v>
      </c>
      <c r="C12" s="92" t="s">
        <v>351</v>
      </c>
      <c r="D12" s="96">
        <v>0.1</v>
      </c>
      <c r="E12" s="93"/>
      <c r="F12" s="97">
        <v>0.1771829725345416</v>
      </c>
      <c r="G12" s="97">
        <f t="shared" si="0"/>
        <v>0.1771829725345416</v>
      </c>
      <c r="H12" s="97">
        <f t="shared" si="1"/>
        <v>0.01771829725345416</v>
      </c>
      <c r="I12" s="93"/>
      <c r="J12" s="97">
        <v>0.11265630787139103</v>
      </c>
      <c r="K12" s="97">
        <f t="shared" si="2"/>
        <v>0.11265630787139103</v>
      </c>
      <c r="L12" s="97">
        <f t="shared" si="3"/>
        <v>0.011265630787139103</v>
      </c>
      <c r="M12" s="93"/>
      <c r="N12" s="97">
        <v>0.08829828860926334</v>
      </c>
      <c r="O12" s="97">
        <f t="shared" si="4"/>
        <v>0.08829828860926334</v>
      </c>
      <c r="P12" s="97">
        <f t="shared" si="5"/>
        <v>0.008829828860926333</v>
      </c>
      <c r="Q12" s="93"/>
      <c r="R12" s="97"/>
      <c r="S12" s="93"/>
      <c r="T12" s="97"/>
      <c r="U12" s="93"/>
      <c r="V12" s="97"/>
      <c r="W12" s="93"/>
      <c r="X12" s="97"/>
      <c r="Y12" s="93"/>
      <c r="Z12" s="97"/>
      <c r="AA12" s="93"/>
      <c r="AB12" s="98"/>
      <c r="AC12" s="93"/>
      <c r="AD12" s="98"/>
      <c r="AE12" s="93"/>
      <c r="AF12" s="98"/>
      <c r="AG12" s="93"/>
      <c r="AH12" s="98"/>
      <c r="AI12" s="93"/>
      <c r="AJ12" s="98"/>
      <c r="AK12" s="93"/>
      <c r="AL12" s="98"/>
      <c r="AM12" s="93"/>
      <c r="AN12" s="98"/>
      <c r="AO12" s="93"/>
      <c r="AP12" s="98"/>
    </row>
    <row r="13" spans="1:42" s="92" customFormat="1" ht="12.75">
      <c r="A13" s="92" t="s">
        <v>294</v>
      </c>
      <c r="B13" s="92">
        <v>9</v>
      </c>
      <c r="C13" s="92" t="s">
        <v>352</v>
      </c>
      <c r="D13" s="96">
        <v>0.1</v>
      </c>
      <c r="E13" s="93"/>
      <c r="F13" s="97">
        <v>0.11012753817754657</v>
      </c>
      <c r="G13" s="97">
        <f t="shared" si="0"/>
        <v>0.11012753817754657</v>
      </c>
      <c r="H13" s="97">
        <f t="shared" si="1"/>
        <v>0.011012753817754658</v>
      </c>
      <c r="I13" s="93"/>
      <c r="J13" s="97">
        <v>0.06996008160049855</v>
      </c>
      <c r="K13" s="97">
        <f t="shared" si="2"/>
        <v>0.06996008160049855</v>
      </c>
      <c r="L13" s="97">
        <f t="shared" si="3"/>
        <v>0.006996008160049855</v>
      </c>
      <c r="M13" s="93"/>
      <c r="N13" s="97">
        <v>0.046251484509614124</v>
      </c>
      <c r="O13" s="97">
        <f t="shared" si="4"/>
        <v>0.046251484509614124</v>
      </c>
      <c r="P13" s="97">
        <f t="shared" si="5"/>
        <v>0.004625148450961412</v>
      </c>
      <c r="Q13" s="93"/>
      <c r="R13" s="97"/>
      <c r="S13" s="93"/>
      <c r="T13" s="97"/>
      <c r="U13" s="93"/>
      <c r="V13" s="97"/>
      <c r="W13" s="93"/>
      <c r="X13" s="97"/>
      <c r="Y13" s="93"/>
      <c r="Z13" s="97"/>
      <c r="AA13" s="93"/>
      <c r="AB13" s="98"/>
      <c r="AC13" s="93"/>
      <c r="AD13" s="98"/>
      <c r="AE13" s="93"/>
      <c r="AF13" s="98"/>
      <c r="AG13" s="93"/>
      <c r="AH13" s="98"/>
      <c r="AI13" s="93"/>
      <c r="AJ13" s="98"/>
      <c r="AK13" s="93"/>
      <c r="AL13" s="98"/>
      <c r="AM13" s="93"/>
      <c r="AN13" s="98"/>
      <c r="AO13" s="93"/>
      <c r="AP13" s="98"/>
    </row>
    <row r="14" spans="1:42" s="92" customFormat="1" ht="12.75">
      <c r="A14" s="92" t="s">
        <v>294</v>
      </c>
      <c r="B14" s="92">
        <v>10</v>
      </c>
      <c r="C14" s="92" t="s">
        <v>353</v>
      </c>
      <c r="D14" s="96">
        <v>0</v>
      </c>
      <c r="E14" s="93"/>
      <c r="F14" s="97">
        <v>1.8330116909996</v>
      </c>
      <c r="G14" s="97">
        <f t="shared" si="0"/>
        <v>1.8330116909996</v>
      </c>
      <c r="H14" s="97">
        <f t="shared" si="1"/>
        <v>0</v>
      </c>
      <c r="I14" s="93"/>
      <c r="J14" s="97">
        <v>1.065348007313474</v>
      </c>
      <c r="K14" s="97">
        <f t="shared" si="2"/>
        <v>1.065348007313474</v>
      </c>
      <c r="L14" s="97">
        <f t="shared" si="3"/>
        <v>0</v>
      </c>
      <c r="M14" s="93"/>
      <c r="N14" s="97">
        <v>0.8637614899327938</v>
      </c>
      <c r="O14" s="97">
        <f t="shared" si="4"/>
        <v>0.8637614899327938</v>
      </c>
      <c r="P14" s="97">
        <f t="shared" si="5"/>
        <v>0</v>
      </c>
      <c r="Q14" s="93"/>
      <c r="R14" s="97"/>
      <c r="S14" s="93"/>
      <c r="T14" s="97"/>
      <c r="U14" s="93"/>
      <c r="V14" s="97"/>
      <c r="W14" s="93"/>
      <c r="X14" s="97"/>
      <c r="Y14" s="93"/>
      <c r="Z14" s="97"/>
      <c r="AA14" s="93"/>
      <c r="AB14" s="98"/>
      <c r="AC14" s="93"/>
      <c r="AD14" s="98"/>
      <c r="AE14" s="93"/>
      <c r="AF14" s="98"/>
      <c r="AG14" s="93"/>
      <c r="AH14" s="98"/>
      <c r="AI14" s="93"/>
      <c r="AJ14" s="98"/>
      <c r="AK14" s="93"/>
      <c r="AL14" s="98"/>
      <c r="AM14" s="93"/>
      <c r="AN14" s="98"/>
      <c r="AO14" s="93"/>
      <c r="AP14" s="98"/>
    </row>
    <row r="15" spans="1:42" s="92" customFormat="1" ht="12.75">
      <c r="A15" s="92" t="s">
        <v>294</v>
      </c>
      <c r="B15" s="92">
        <v>11</v>
      </c>
      <c r="C15" s="92" t="s">
        <v>354</v>
      </c>
      <c r="D15" s="96">
        <v>0</v>
      </c>
      <c r="E15" s="93"/>
      <c r="F15" s="97">
        <v>2.24660177882195</v>
      </c>
      <c r="G15" s="97">
        <f t="shared" si="0"/>
        <v>2.24660177882195</v>
      </c>
      <c r="H15" s="97">
        <f t="shared" si="1"/>
        <v>0</v>
      </c>
      <c r="I15" s="93"/>
      <c r="J15" s="97">
        <v>1.3220397773035386</v>
      </c>
      <c r="K15" s="97">
        <f t="shared" si="2"/>
        <v>1.3220397773035386</v>
      </c>
      <c r="L15" s="97">
        <f t="shared" si="3"/>
        <v>0</v>
      </c>
      <c r="M15" s="93"/>
      <c r="N15" s="97">
        <v>1.05717678879118</v>
      </c>
      <c r="O15" s="97">
        <f t="shared" si="4"/>
        <v>1.05717678879118</v>
      </c>
      <c r="P15" s="97">
        <f t="shared" si="5"/>
        <v>0</v>
      </c>
      <c r="Q15" s="93"/>
      <c r="R15" s="97"/>
      <c r="S15" s="93"/>
      <c r="T15" s="97"/>
      <c r="U15" s="93"/>
      <c r="V15" s="97"/>
      <c r="W15" s="93"/>
      <c r="X15" s="97"/>
      <c r="Y15" s="93"/>
      <c r="Z15" s="97"/>
      <c r="AA15" s="93"/>
      <c r="AB15" s="98"/>
      <c r="AC15" s="93"/>
      <c r="AD15" s="98"/>
      <c r="AE15" s="93"/>
      <c r="AF15" s="98"/>
      <c r="AG15" s="93"/>
      <c r="AH15" s="98"/>
      <c r="AI15" s="93"/>
      <c r="AJ15" s="98"/>
      <c r="AK15" s="93"/>
      <c r="AL15" s="98"/>
      <c r="AM15" s="93"/>
      <c r="AN15" s="98"/>
      <c r="AO15" s="93"/>
      <c r="AP15" s="98"/>
    </row>
    <row r="16" spans="1:42" s="92" customFormat="1" ht="12.75">
      <c r="A16" s="92" t="s">
        <v>294</v>
      </c>
      <c r="B16" s="92">
        <v>12</v>
      </c>
      <c r="C16" s="92" t="s">
        <v>355</v>
      </c>
      <c r="D16" s="96">
        <v>0.01</v>
      </c>
      <c r="E16" s="93"/>
      <c r="F16" s="97">
        <v>0.5530849695139</v>
      </c>
      <c r="G16" s="97">
        <f t="shared" si="0"/>
        <v>0.5530849695139</v>
      </c>
      <c r="H16" s="97">
        <f t="shared" si="1"/>
        <v>0.005530849695138999</v>
      </c>
      <c r="I16" s="93"/>
      <c r="J16" s="97">
        <v>0.315334779566953</v>
      </c>
      <c r="K16" s="97">
        <f t="shared" si="2"/>
        <v>0.315334779566953</v>
      </c>
      <c r="L16" s="97">
        <f t="shared" si="3"/>
        <v>0.00315334779566953</v>
      </c>
      <c r="M16" s="93"/>
      <c r="N16" s="97">
        <v>0.24026745199799548</v>
      </c>
      <c r="O16" s="97">
        <f t="shared" si="4"/>
        <v>0.24026745199799548</v>
      </c>
      <c r="P16" s="97">
        <f t="shared" si="5"/>
        <v>0.002402674519979955</v>
      </c>
      <c r="Q16" s="93"/>
      <c r="R16" s="97"/>
      <c r="S16" s="93"/>
      <c r="T16" s="97"/>
      <c r="U16" s="93"/>
      <c r="V16" s="97"/>
      <c r="W16" s="93"/>
      <c r="X16" s="97"/>
      <c r="Y16" s="93"/>
      <c r="Z16" s="97"/>
      <c r="AA16" s="93"/>
      <c r="AB16" s="98"/>
      <c r="AC16" s="93"/>
      <c r="AD16" s="98"/>
      <c r="AE16" s="93"/>
      <c r="AF16" s="98"/>
      <c r="AG16" s="93"/>
      <c r="AH16" s="98"/>
      <c r="AI16" s="93"/>
      <c r="AJ16" s="98"/>
      <c r="AK16" s="93"/>
      <c r="AL16" s="98"/>
      <c r="AM16" s="93"/>
      <c r="AN16" s="98"/>
      <c r="AO16" s="93"/>
      <c r="AP16" s="98"/>
    </row>
    <row r="17" spans="1:42" s="92" customFormat="1" ht="12.75">
      <c r="A17" s="92" t="s">
        <v>294</v>
      </c>
      <c r="B17" s="92">
        <v>13</v>
      </c>
      <c r="C17" s="92" t="s">
        <v>356</v>
      </c>
      <c r="D17" s="96">
        <v>0</v>
      </c>
      <c r="E17" s="93"/>
      <c r="F17" s="97">
        <v>0.7488672596073167</v>
      </c>
      <c r="G17" s="97">
        <f t="shared" si="0"/>
        <v>0.7488672596073167</v>
      </c>
      <c r="H17" s="97">
        <f t="shared" si="1"/>
        <v>0</v>
      </c>
      <c r="I17" s="93"/>
      <c r="J17" s="97">
        <v>0.4254190256147963</v>
      </c>
      <c r="K17" s="97">
        <f t="shared" si="2"/>
        <v>0.4254190256147963</v>
      </c>
      <c r="L17" s="97">
        <f t="shared" si="3"/>
        <v>0</v>
      </c>
      <c r="M17" s="93"/>
      <c r="N17" s="97">
        <v>0.3075423385574342</v>
      </c>
      <c r="O17" s="97">
        <f t="shared" si="4"/>
        <v>0.3075423385574342</v>
      </c>
      <c r="P17" s="97">
        <f t="shared" si="5"/>
        <v>0</v>
      </c>
      <c r="Q17" s="93"/>
      <c r="R17" s="97"/>
      <c r="S17" s="93"/>
      <c r="T17" s="97"/>
      <c r="U17" s="93"/>
      <c r="V17" s="97"/>
      <c r="W17" s="93"/>
      <c r="X17" s="97"/>
      <c r="Y17" s="93"/>
      <c r="Z17" s="97"/>
      <c r="AA17" s="93"/>
      <c r="AB17" s="98"/>
      <c r="AC17" s="93"/>
      <c r="AD17" s="98"/>
      <c r="AE17" s="93"/>
      <c r="AF17" s="98"/>
      <c r="AG17" s="93"/>
      <c r="AH17" s="98"/>
      <c r="AI17" s="93"/>
      <c r="AJ17" s="98"/>
      <c r="AK17" s="93"/>
      <c r="AL17" s="98"/>
      <c r="AM17" s="93"/>
      <c r="AN17" s="98"/>
      <c r="AO17" s="93"/>
      <c r="AP17" s="98"/>
    </row>
    <row r="18" spans="1:42" s="92" customFormat="1" ht="12.75">
      <c r="A18" s="92" t="s">
        <v>294</v>
      </c>
      <c r="B18" s="92">
        <v>14</v>
      </c>
      <c r="C18" s="92" t="s">
        <v>357</v>
      </c>
      <c r="D18" s="96">
        <v>0</v>
      </c>
      <c r="E18" s="93"/>
      <c r="F18" s="97">
        <v>1.3019522291212173</v>
      </c>
      <c r="G18" s="97">
        <f t="shared" si="0"/>
        <v>1.3019522291212173</v>
      </c>
      <c r="H18" s="97">
        <f t="shared" si="1"/>
        <v>0</v>
      </c>
      <c r="I18" s="93"/>
      <c r="J18" s="97">
        <v>0.74075380518175</v>
      </c>
      <c r="K18" s="97">
        <f t="shared" si="2"/>
        <v>0.74075380518175</v>
      </c>
      <c r="L18" s="97">
        <f t="shared" si="3"/>
        <v>0</v>
      </c>
      <c r="M18" s="93"/>
      <c r="N18" s="97">
        <v>0.54780979055543</v>
      </c>
      <c r="O18" s="97">
        <f t="shared" si="4"/>
        <v>0.54780979055543</v>
      </c>
      <c r="P18" s="97">
        <f t="shared" si="5"/>
        <v>0</v>
      </c>
      <c r="Q18" s="93"/>
      <c r="R18" s="97"/>
      <c r="S18" s="93"/>
      <c r="T18" s="97"/>
      <c r="U18" s="93"/>
      <c r="V18" s="97"/>
      <c r="W18" s="93"/>
      <c r="X18" s="97"/>
      <c r="Y18" s="93"/>
      <c r="Z18" s="97"/>
      <c r="AA18" s="93"/>
      <c r="AB18" s="98"/>
      <c r="AC18" s="93"/>
      <c r="AD18" s="98"/>
      <c r="AE18" s="93"/>
      <c r="AF18" s="98"/>
      <c r="AG18" s="93"/>
      <c r="AH18" s="98"/>
      <c r="AI18" s="93"/>
      <c r="AJ18" s="98"/>
      <c r="AK18" s="93"/>
      <c r="AL18" s="98"/>
      <c r="AM18" s="93"/>
      <c r="AN18" s="98"/>
      <c r="AO18" s="93"/>
      <c r="AP18" s="98"/>
    </row>
    <row r="19" spans="1:42" s="92" customFormat="1" ht="12.75">
      <c r="A19" s="92" t="s">
        <v>294</v>
      </c>
      <c r="B19" s="92">
        <v>15</v>
      </c>
      <c r="C19" s="92" t="s">
        <v>358</v>
      </c>
      <c r="D19" s="96">
        <v>0.001</v>
      </c>
      <c r="E19" s="93"/>
      <c r="F19" s="97">
        <v>0.394011858813</v>
      </c>
      <c r="G19" s="97">
        <f t="shared" si="0"/>
        <v>0.394011858813</v>
      </c>
      <c r="H19" s="97">
        <f t="shared" si="1"/>
        <v>0.000394011858813</v>
      </c>
      <c r="I19" s="93"/>
      <c r="J19" s="97">
        <v>0.24897558451942126</v>
      </c>
      <c r="K19" s="97">
        <f t="shared" si="2"/>
        <v>0.24897558451942126</v>
      </c>
      <c r="L19" s="97">
        <f t="shared" si="3"/>
        <v>0.0002489755845194213</v>
      </c>
      <c r="M19" s="93"/>
      <c r="N19" s="97">
        <v>0.21083468912824102</v>
      </c>
      <c r="O19" s="97">
        <f t="shared" si="4"/>
        <v>0.21083468912824102</v>
      </c>
      <c r="P19" s="97">
        <f t="shared" si="5"/>
        <v>0.00021083468912824104</v>
      </c>
      <c r="Q19" s="93"/>
      <c r="R19" s="97"/>
      <c r="S19" s="93"/>
      <c r="T19" s="97"/>
      <c r="U19" s="93"/>
      <c r="V19" s="97"/>
      <c r="W19" s="93"/>
      <c r="X19" s="97"/>
      <c r="Y19" s="93"/>
      <c r="Z19" s="97"/>
      <c r="AA19" s="93"/>
      <c r="AB19" s="98"/>
      <c r="AC19" s="93"/>
      <c r="AD19" s="98"/>
      <c r="AE19" s="93"/>
      <c r="AF19" s="98"/>
      <c r="AG19" s="93"/>
      <c r="AH19" s="98"/>
      <c r="AI19" s="93"/>
      <c r="AJ19" s="98"/>
      <c r="AK19" s="93"/>
      <c r="AL19" s="98"/>
      <c r="AM19" s="93"/>
      <c r="AN19" s="98"/>
      <c r="AO19" s="93"/>
      <c r="AP19" s="98"/>
    </row>
    <row r="20" spans="1:42" s="92" customFormat="1" ht="12.75">
      <c r="A20" s="92" t="s">
        <v>294</v>
      </c>
      <c r="B20" s="92">
        <v>16</v>
      </c>
      <c r="C20" s="92" t="s">
        <v>359</v>
      </c>
      <c r="D20" s="96">
        <v>0.1</v>
      </c>
      <c r="E20" s="93"/>
      <c r="F20" s="97">
        <v>0.33870336186161</v>
      </c>
      <c r="G20" s="97">
        <f t="shared" si="0"/>
        <v>0.33870336186161</v>
      </c>
      <c r="H20" s="97">
        <f t="shared" si="1"/>
        <v>0.033870336186161</v>
      </c>
      <c r="I20" s="93"/>
      <c r="J20" s="97">
        <v>0.2644079554607077</v>
      </c>
      <c r="K20" s="97">
        <f t="shared" si="2"/>
        <v>0.2644079554607077</v>
      </c>
      <c r="L20" s="97">
        <f t="shared" si="3"/>
        <v>0.026440795546070775</v>
      </c>
      <c r="M20" s="93"/>
      <c r="N20" s="97">
        <v>0.1898112870784164</v>
      </c>
      <c r="O20" s="97">
        <f t="shared" si="4"/>
        <v>0.1898112870784164</v>
      </c>
      <c r="P20" s="97">
        <f t="shared" si="5"/>
        <v>0.018981128707841643</v>
      </c>
      <c r="Q20" s="93"/>
      <c r="R20" s="97"/>
      <c r="S20" s="93"/>
      <c r="T20" s="97"/>
      <c r="U20" s="93"/>
      <c r="V20" s="97"/>
      <c r="W20" s="93"/>
      <c r="X20" s="97"/>
      <c r="Y20" s="93"/>
      <c r="Z20" s="97"/>
      <c r="AA20" s="93"/>
      <c r="AB20" s="98"/>
      <c r="AC20" s="93"/>
      <c r="AD20" s="98"/>
      <c r="AE20" s="93"/>
      <c r="AF20" s="98"/>
      <c r="AG20" s="93"/>
      <c r="AH20" s="98"/>
      <c r="AI20" s="93"/>
      <c r="AJ20" s="98"/>
      <c r="AK20" s="93"/>
      <c r="AL20" s="98"/>
      <c r="AM20" s="93"/>
      <c r="AN20" s="98"/>
      <c r="AO20" s="93"/>
      <c r="AP20" s="98"/>
    </row>
    <row r="21" spans="1:42" s="92" customFormat="1" ht="12.75">
      <c r="A21" s="92" t="s">
        <v>294</v>
      </c>
      <c r="B21" s="92">
        <v>17</v>
      </c>
      <c r="C21" s="92" t="s">
        <v>360</v>
      </c>
      <c r="D21" s="96">
        <v>0</v>
      </c>
      <c r="E21" s="93"/>
      <c r="F21" s="97">
        <v>16.204900151032</v>
      </c>
      <c r="G21" s="97">
        <f t="shared" si="0"/>
        <v>16.204900151032</v>
      </c>
      <c r="H21" s="97">
        <f t="shared" si="1"/>
        <v>0</v>
      </c>
      <c r="I21" s="93"/>
      <c r="J21" s="97">
        <v>12.184371270510358</v>
      </c>
      <c r="K21" s="97">
        <f t="shared" si="2"/>
        <v>12.184371270510358</v>
      </c>
      <c r="L21" s="97">
        <f t="shared" si="3"/>
        <v>0</v>
      </c>
      <c r="M21" s="93"/>
      <c r="N21" s="97">
        <v>9.9014216968374</v>
      </c>
      <c r="O21" s="97">
        <f t="shared" si="4"/>
        <v>9.9014216968374</v>
      </c>
      <c r="P21" s="97">
        <f t="shared" si="5"/>
        <v>0</v>
      </c>
      <c r="Q21" s="93"/>
      <c r="R21" s="97"/>
      <c r="S21" s="93"/>
      <c r="T21" s="97"/>
      <c r="U21" s="93"/>
      <c r="V21" s="97"/>
      <c r="W21" s="93"/>
      <c r="X21" s="97"/>
      <c r="Y21" s="93"/>
      <c r="Z21" s="97"/>
      <c r="AA21" s="93"/>
      <c r="AB21" s="98"/>
      <c r="AC21" s="93"/>
      <c r="AD21" s="98"/>
      <c r="AE21" s="93"/>
      <c r="AF21" s="98"/>
      <c r="AG21" s="93"/>
      <c r="AH21" s="98"/>
      <c r="AI21" s="93"/>
      <c r="AJ21" s="98"/>
      <c r="AK21" s="93"/>
      <c r="AL21" s="98"/>
      <c r="AM21" s="93"/>
      <c r="AN21" s="98"/>
      <c r="AO21" s="93"/>
      <c r="AP21" s="98"/>
    </row>
    <row r="22" spans="1:42" s="92" customFormat="1" ht="12.75">
      <c r="A22" s="92" t="s">
        <v>294</v>
      </c>
      <c r="B22" s="92">
        <v>18</v>
      </c>
      <c r="C22" s="92" t="s">
        <v>361</v>
      </c>
      <c r="D22" s="96">
        <v>0</v>
      </c>
      <c r="E22" s="93"/>
      <c r="F22" s="97">
        <v>16.543603512893664</v>
      </c>
      <c r="G22" s="97">
        <f t="shared" si="0"/>
        <v>16.543603512893664</v>
      </c>
      <c r="H22" s="97">
        <f t="shared" si="1"/>
        <v>0</v>
      </c>
      <c r="I22" s="93"/>
      <c r="J22" s="97">
        <v>12.448779225971</v>
      </c>
      <c r="K22" s="97">
        <f t="shared" si="2"/>
        <v>12.448779225971</v>
      </c>
      <c r="L22" s="97">
        <f t="shared" si="3"/>
        <v>0</v>
      </c>
      <c r="M22" s="93"/>
      <c r="N22" s="97">
        <v>10.09123298391581</v>
      </c>
      <c r="O22" s="97">
        <f t="shared" si="4"/>
        <v>10.09123298391581</v>
      </c>
      <c r="P22" s="97">
        <f t="shared" si="5"/>
        <v>0</v>
      </c>
      <c r="Q22" s="93"/>
      <c r="R22" s="97"/>
      <c r="S22" s="93"/>
      <c r="T22" s="97"/>
      <c r="U22" s="93"/>
      <c r="V22" s="97"/>
      <c r="W22" s="93"/>
      <c r="X22" s="97"/>
      <c r="Y22" s="93"/>
      <c r="Z22" s="97"/>
      <c r="AA22" s="93"/>
      <c r="AB22" s="98"/>
      <c r="AC22" s="93"/>
      <c r="AD22" s="98"/>
      <c r="AE22" s="93"/>
      <c r="AF22" s="98"/>
      <c r="AG22" s="93"/>
      <c r="AH22" s="98"/>
      <c r="AI22" s="93"/>
      <c r="AJ22" s="98"/>
      <c r="AK22" s="93"/>
      <c r="AL22" s="98"/>
      <c r="AM22" s="93"/>
      <c r="AN22" s="98"/>
      <c r="AO22" s="93"/>
      <c r="AP22" s="98"/>
    </row>
    <row r="23" spans="1:42" s="92" customFormat="1" ht="12.75">
      <c r="A23" s="92" t="s">
        <v>294</v>
      </c>
      <c r="B23" s="92">
        <v>19</v>
      </c>
      <c r="C23" s="92" t="s">
        <v>362</v>
      </c>
      <c r="D23" s="96">
        <v>0.05</v>
      </c>
      <c r="E23" s="93"/>
      <c r="F23" s="97">
        <v>1.0621189237567825</v>
      </c>
      <c r="G23" s="97">
        <f t="shared" si="0"/>
        <v>1.0621189237567825</v>
      </c>
      <c r="H23" s="97">
        <f t="shared" si="1"/>
        <v>0.05310594618783913</v>
      </c>
      <c r="I23" s="93"/>
      <c r="J23" s="97">
        <v>0.58128597212179</v>
      </c>
      <c r="K23" s="97">
        <f t="shared" si="2"/>
        <v>0.58128597212179</v>
      </c>
      <c r="L23" s="97">
        <f t="shared" si="3"/>
        <v>0.0290642986060895</v>
      </c>
      <c r="M23" s="93"/>
      <c r="N23" s="97">
        <v>0.4637161823561312</v>
      </c>
      <c r="O23" s="97">
        <f t="shared" si="4"/>
        <v>0.4637161823561312</v>
      </c>
      <c r="P23" s="97">
        <f t="shared" si="5"/>
        <v>0.02318580911780656</v>
      </c>
      <c r="Q23" s="93"/>
      <c r="R23" s="97"/>
      <c r="S23" s="93"/>
      <c r="T23" s="97"/>
      <c r="U23" s="93"/>
      <c r="V23" s="97"/>
      <c r="W23" s="93"/>
      <c r="X23" s="97"/>
      <c r="Y23" s="93"/>
      <c r="Z23" s="97"/>
      <c r="AA23" s="93"/>
      <c r="AB23" s="98"/>
      <c r="AC23" s="93"/>
      <c r="AD23" s="98"/>
      <c r="AE23" s="93"/>
      <c r="AF23" s="98"/>
      <c r="AG23" s="93"/>
      <c r="AH23" s="98"/>
      <c r="AI23" s="93"/>
      <c r="AJ23" s="98"/>
      <c r="AK23" s="93"/>
      <c r="AL23" s="98"/>
      <c r="AM23" s="93"/>
      <c r="AN23" s="98"/>
      <c r="AO23" s="93"/>
      <c r="AP23" s="98"/>
    </row>
    <row r="24" spans="1:42" s="92" customFormat="1" ht="12.75">
      <c r="A24" s="92" t="s">
        <v>294</v>
      </c>
      <c r="B24" s="92">
        <v>20</v>
      </c>
      <c r="C24" s="92" t="s">
        <v>363</v>
      </c>
      <c r="D24" s="96">
        <v>0.5</v>
      </c>
      <c r="E24" s="93"/>
      <c r="F24" s="97">
        <v>1.1795882978128323</v>
      </c>
      <c r="G24" s="97">
        <f t="shared" si="0"/>
        <v>1.1795882978128323</v>
      </c>
      <c r="H24" s="97">
        <f t="shared" si="1"/>
        <v>0.5897941489064161</v>
      </c>
      <c r="I24" s="93"/>
      <c r="J24" s="97">
        <v>0.8950775145946136</v>
      </c>
      <c r="K24" s="97">
        <f t="shared" si="2"/>
        <v>0.8950775145946136</v>
      </c>
      <c r="L24" s="97">
        <f t="shared" si="3"/>
        <v>0.4475387572973068</v>
      </c>
      <c r="M24" s="93"/>
      <c r="N24" s="97">
        <v>0.6307020614947382</v>
      </c>
      <c r="O24" s="97">
        <f t="shared" si="4"/>
        <v>0.6307020614947382</v>
      </c>
      <c r="P24" s="97">
        <f t="shared" si="5"/>
        <v>0.3153510307473691</v>
      </c>
      <c r="Q24" s="93"/>
      <c r="R24" s="97"/>
      <c r="S24" s="93"/>
      <c r="T24" s="97"/>
      <c r="U24" s="93"/>
      <c r="V24" s="97"/>
      <c r="W24" s="93"/>
      <c r="X24" s="97"/>
      <c r="Y24" s="93"/>
      <c r="Z24" s="97"/>
      <c r="AA24" s="93"/>
      <c r="AB24" s="98"/>
      <c r="AC24" s="93"/>
      <c r="AD24" s="98"/>
      <c r="AE24" s="93"/>
      <c r="AF24" s="98"/>
      <c r="AG24" s="93"/>
      <c r="AH24" s="98"/>
      <c r="AI24" s="93"/>
      <c r="AJ24" s="98"/>
      <c r="AK24" s="93"/>
      <c r="AL24" s="98"/>
      <c r="AM24" s="93"/>
      <c r="AN24" s="98"/>
      <c r="AO24" s="93"/>
      <c r="AP24" s="98"/>
    </row>
    <row r="25" spans="1:42" s="92" customFormat="1" ht="12.75">
      <c r="A25" s="92" t="s">
        <v>294</v>
      </c>
      <c r="B25" s="92">
        <v>21</v>
      </c>
      <c r="C25" s="92" t="s">
        <v>364</v>
      </c>
      <c r="D25" s="96">
        <v>0</v>
      </c>
      <c r="E25" s="93"/>
      <c r="F25" s="97">
        <v>22.182133467584</v>
      </c>
      <c r="G25" s="97">
        <f t="shared" si="0"/>
        <v>22.182133467584</v>
      </c>
      <c r="H25" s="97">
        <f t="shared" si="1"/>
        <v>0</v>
      </c>
      <c r="I25" s="93"/>
      <c r="J25" s="97">
        <v>14.47041981927959</v>
      </c>
      <c r="K25" s="97">
        <f t="shared" si="2"/>
        <v>14.47041981927959</v>
      </c>
      <c r="L25" s="97">
        <f t="shared" si="3"/>
        <v>0</v>
      </c>
      <c r="M25" s="93"/>
      <c r="N25" s="97">
        <v>13.26156201302936</v>
      </c>
      <c r="O25" s="97">
        <f t="shared" si="4"/>
        <v>13.26156201302936</v>
      </c>
      <c r="P25" s="97">
        <f t="shared" si="5"/>
        <v>0</v>
      </c>
      <c r="Q25" s="93"/>
      <c r="R25" s="97"/>
      <c r="S25" s="93"/>
      <c r="T25" s="97"/>
      <c r="U25" s="93"/>
      <c r="V25" s="97"/>
      <c r="W25" s="93"/>
      <c r="X25" s="97"/>
      <c r="Y25" s="93"/>
      <c r="Z25" s="97"/>
      <c r="AA25" s="93"/>
      <c r="AB25" s="98"/>
      <c r="AC25" s="93"/>
      <c r="AD25" s="98"/>
      <c r="AE25" s="93"/>
      <c r="AF25" s="98"/>
      <c r="AG25" s="93"/>
      <c r="AH25" s="98"/>
      <c r="AI25" s="93"/>
      <c r="AJ25" s="98"/>
      <c r="AK25" s="93"/>
      <c r="AL25" s="98"/>
      <c r="AM25" s="93"/>
      <c r="AN25" s="98"/>
      <c r="AO25" s="93"/>
      <c r="AP25" s="98"/>
    </row>
    <row r="26" spans="1:42" s="92" customFormat="1" ht="12.75">
      <c r="A26" s="92" t="s">
        <v>294</v>
      </c>
      <c r="B26" s="92">
        <v>22</v>
      </c>
      <c r="C26" s="92" t="s">
        <v>365</v>
      </c>
      <c r="D26" s="96">
        <v>0</v>
      </c>
      <c r="E26" s="93"/>
      <c r="F26" s="97">
        <v>24.42384068915366</v>
      </c>
      <c r="G26" s="97">
        <f t="shared" si="0"/>
        <v>24.42384068915366</v>
      </c>
      <c r="H26" s="97">
        <f t="shared" si="1"/>
        <v>0</v>
      </c>
      <c r="I26" s="93"/>
      <c r="J26" s="97">
        <v>15.946783305996</v>
      </c>
      <c r="K26" s="97">
        <f t="shared" si="2"/>
        <v>15.946783305996</v>
      </c>
      <c r="L26" s="97">
        <f t="shared" si="3"/>
        <v>0</v>
      </c>
      <c r="M26" s="93"/>
      <c r="N26" s="97">
        <v>14.35598025688023</v>
      </c>
      <c r="O26" s="97">
        <f t="shared" si="4"/>
        <v>14.35598025688023</v>
      </c>
      <c r="P26" s="97">
        <f t="shared" si="5"/>
        <v>0</v>
      </c>
      <c r="Q26" s="93"/>
      <c r="R26" s="97"/>
      <c r="S26" s="93"/>
      <c r="T26" s="97"/>
      <c r="U26" s="93"/>
      <c r="V26" s="97"/>
      <c r="W26" s="93"/>
      <c r="X26" s="97"/>
      <c r="Y26" s="93"/>
      <c r="Z26" s="97"/>
      <c r="AA26" s="93"/>
      <c r="AB26" s="98"/>
      <c r="AC26" s="93"/>
      <c r="AD26" s="98"/>
      <c r="AE26" s="93"/>
      <c r="AF26" s="98"/>
      <c r="AG26" s="93"/>
      <c r="AH26" s="98"/>
      <c r="AI26" s="93"/>
      <c r="AJ26" s="98"/>
      <c r="AK26" s="93"/>
      <c r="AL26" s="98"/>
      <c r="AM26" s="93"/>
      <c r="AN26" s="98"/>
      <c r="AO26" s="93"/>
      <c r="AP26" s="98"/>
    </row>
    <row r="27" spans="1:42" s="92" customFormat="1" ht="12.75">
      <c r="A27" s="92" t="s">
        <v>294</v>
      </c>
      <c r="B27" s="92">
        <v>23</v>
      </c>
      <c r="C27" s="92" t="s">
        <v>366</v>
      </c>
      <c r="D27" s="96">
        <v>0.1</v>
      </c>
      <c r="E27" s="93"/>
      <c r="F27" s="97">
        <v>2.9563125804105836</v>
      </c>
      <c r="G27" s="97">
        <f t="shared" si="0"/>
        <v>2.9563125804105836</v>
      </c>
      <c r="H27" s="97">
        <f t="shared" si="1"/>
        <v>0.2956312580410584</v>
      </c>
      <c r="I27" s="93"/>
      <c r="J27" s="97">
        <v>1.6358313197763632</v>
      </c>
      <c r="K27" s="97">
        <f t="shared" si="2"/>
        <v>1.6358313197763632</v>
      </c>
      <c r="L27" s="97">
        <f t="shared" si="3"/>
        <v>0.16358313197763633</v>
      </c>
      <c r="M27" s="93"/>
      <c r="N27" s="97">
        <v>1.267410809289426</v>
      </c>
      <c r="O27" s="97">
        <f t="shared" si="4"/>
        <v>1.267410809289426</v>
      </c>
      <c r="P27" s="97">
        <f t="shared" si="5"/>
        <v>0.12674108092894262</v>
      </c>
      <c r="Q27" s="93"/>
      <c r="R27" s="97"/>
      <c r="S27" s="93"/>
      <c r="T27" s="97"/>
      <c r="U27" s="93"/>
      <c r="V27" s="97"/>
      <c r="W27" s="93"/>
      <c r="X27" s="97"/>
      <c r="Y27" s="93"/>
      <c r="Z27" s="97"/>
      <c r="AA27" s="93"/>
      <c r="AB27" s="98"/>
      <c r="AC27" s="93"/>
      <c r="AD27" s="98"/>
      <c r="AE27" s="93"/>
      <c r="AF27" s="98"/>
      <c r="AG27" s="93"/>
      <c r="AH27" s="98"/>
      <c r="AI27" s="93"/>
      <c r="AJ27" s="98"/>
      <c r="AK27" s="93"/>
      <c r="AL27" s="98"/>
      <c r="AM27" s="93"/>
      <c r="AN27" s="98"/>
      <c r="AO27" s="93"/>
      <c r="AP27" s="98"/>
    </row>
    <row r="28" spans="1:42" s="92" customFormat="1" ht="12.75">
      <c r="A28" s="92" t="s">
        <v>294</v>
      </c>
      <c r="B28" s="92">
        <v>24</v>
      </c>
      <c r="C28" s="92" t="s">
        <v>367</v>
      </c>
      <c r="D28" s="96">
        <v>0.1</v>
      </c>
      <c r="E28" s="93"/>
      <c r="F28" s="97">
        <v>2.5990099009901</v>
      </c>
      <c r="G28" s="97">
        <f t="shared" si="0"/>
        <v>2.5990099009901</v>
      </c>
      <c r="H28" s="97">
        <f t="shared" si="1"/>
        <v>0.25990099009901</v>
      </c>
      <c r="I28" s="93"/>
      <c r="J28" s="97">
        <v>1.4403546211867349</v>
      </c>
      <c r="K28" s="97">
        <f t="shared" si="2"/>
        <v>1.4403546211867349</v>
      </c>
      <c r="L28" s="97">
        <f t="shared" si="3"/>
        <v>0.1440354621186735</v>
      </c>
      <c r="M28" s="93"/>
      <c r="N28" s="97">
        <v>1.177310514790178</v>
      </c>
      <c r="O28" s="97">
        <f t="shared" si="4"/>
        <v>1.177310514790178</v>
      </c>
      <c r="P28" s="97">
        <f t="shared" si="5"/>
        <v>0.1177310514790178</v>
      </c>
      <c r="Q28" s="93"/>
      <c r="R28" s="97"/>
      <c r="S28" s="93"/>
      <c r="T28" s="97"/>
      <c r="U28" s="93"/>
      <c r="V28" s="97"/>
      <c r="W28" s="93"/>
      <c r="X28" s="97"/>
      <c r="Y28" s="93"/>
      <c r="Z28" s="97"/>
      <c r="AA28" s="93"/>
      <c r="AB28" s="98"/>
      <c r="AC28" s="93"/>
      <c r="AD28" s="98"/>
      <c r="AE28" s="93"/>
      <c r="AF28" s="98"/>
      <c r="AG28" s="93"/>
      <c r="AH28" s="98"/>
      <c r="AI28" s="93"/>
      <c r="AJ28" s="98"/>
      <c r="AK28" s="93"/>
      <c r="AL28" s="98"/>
      <c r="AM28" s="93"/>
      <c r="AN28" s="98"/>
      <c r="AO28" s="93"/>
      <c r="AP28" s="98"/>
    </row>
    <row r="29" spans="1:42" s="92" customFormat="1" ht="12.75">
      <c r="A29" s="92" t="s">
        <v>294</v>
      </c>
      <c r="B29" s="92">
        <v>25</v>
      </c>
      <c r="C29" s="92" t="s">
        <v>368</v>
      </c>
      <c r="D29" s="96">
        <v>0.1</v>
      </c>
      <c r="E29" s="93"/>
      <c r="F29" s="97">
        <v>0.2755635733064832</v>
      </c>
      <c r="G29" s="97">
        <f t="shared" si="0"/>
        <v>0.2755635733064832</v>
      </c>
      <c r="H29" s="97">
        <f t="shared" si="1"/>
        <v>0.027556357330648318</v>
      </c>
      <c r="I29" s="93"/>
      <c r="J29" s="97">
        <v>0.18673168838956597</v>
      </c>
      <c r="K29" s="97">
        <f t="shared" si="2"/>
        <v>0.18673168838956597</v>
      </c>
      <c r="L29" s="97">
        <f t="shared" si="3"/>
        <v>0.0186731688389566</v>
      </c>
      <c r="M29" s="93"/>
      <c r="N29" s="97">
        <v>0.10932169065908795</v>
      </c>
      <c r="O29" s="97">
        <f t="shared" si="4"/>
        <v>0.10932169065908795</v>
      </c>
      <c r="P29" s="97">
        <f t="shared" si="5"/>
        <v>0.010932169065908796</v>
      </c>
      <c r="Q29" s="93"/>
      <c r="R29" s="97"/>
      <c r="S29" s="93"/>
      <c r="T29" s="97"/>
      <c r="U29" s="93"/>
      <c r="V29" s="97"/>
      <c r="W29" s="93"/>
      <c r="X29" s="97"/>
      <c r="Y29" s="93"/>
      <c r="Z29" s="97"/>
      <c r="AA29" s="93"/>
      <c r="AB29" s="98"/>
      <c r="AC29" s="93"/>
      <c r="AD29" s="98"/>
      <c r="AE29" s="93"/>
      <c r="AF29" s="98"/>
      <c r="AG29" s="93"/>
      <c r="AH29" s="98"/>
      <c r="AI29" s="93"/>
      <c r="AJ29" s="98"/>
      <c r="AK29" s="93"/>
      <c r="AL29" s="98"/>
      <c r="AM29" s="93"/>
      <c r="AN29" s="98"/>
      <c r="AO29" s="93"/>
      <c r="AP29" s="98"/>
    </row>
    <row r="30" spans="1:42" s="92" customFormat="1" ht="12.75">
      <c r="A30" s="92" t="s">
        <v>294</v>
      </c>
      <c r="B30" s="92">
        <v>26</v>
      </c>
      <c r="C30" s="92" t="s">
        <v>369</v>
      </c>
      <c r="D30" s="96">
        <v>0.1</v>
      </c>
      <c r="E30" s="93"/>
      <c r="F30" s="97">
        <v>1.654360351289366</v>
      </c>
      <c r="G30" s="97">
        <f t="shared" si="0"/>
        <v>1.654360351289366</v>
      </c>
      <c r="H30" s="97">
        <f t="shared" si="1"/>
        <v>0.16543603512893662</v>
      </c>
      <c r="I30" s="93"/>
      <c r="J30" s="97">
        <v>1.1677160678906744</v>
      </c>
      <c r="K30" s="97">
        <f t="shared" si="2"/>
        <v>1.1677160678906744</v>
      </c>
      <c r="L30" s="97">
        <f t="shared" si="3"/>
        <v>0.11677160678906745</v>
      </c>
      <c r="M30" s="93"/>
      <c r="N30" s="97">
        <v>0.798889277893335</v>
      </c>
      <c r="O30" s="97">
        <f t="shared" si="4"/>
        <v>0.798889277893335</v>
      </c>
      <c r="P30" s="97">
        <f t="shared" si="5"/>
        <v>0.0798889277893335</v>
      </c>
      <c r="Q30" s="93"/>
      <c r="R30" s="97"/>
      <c r="S30" s="93"/>
      <c r="T30" s="97"/>
      <c r="U30" s="93"/>
      <c r="V30" s="97"/>
      <c r="W30" s="93"/>
      <c r="X30" s="97"/>
      <c r="Y30" s="93"/>
      <c r="Z30" s="97"/>
      <c r="AA30" s="93"/>
      <c r="AB30" s="98"/>
      <c r="AC30" s="93"/>
      <c r="AD30" s="98"/>
      <c r="AE30" s="93"/>
      <c r="AF30" s="98"/>
      <c r="AG30" s="93"/>
      <c r="AH30" s="98"/>
      <c r="AI30" s="93"/>
      <c r="AJ30" s="98"/>
      <c r="AK30" s="93"/>
      <c r="AL30" s="98"/>
      <c r="AM30" s="93"/>
      <c r="AN30" s="98"/>
      <c r="AO30" s="93"/>
      <c r="AP30" s="98"/>
    </row>
    <row r="31" spans="1:42" s="92" customFormat="1" ht="12.75">
      <c r="A31" s="92" t="s">
        <v>294</v>
      </c>
      <c r="B31" s="92">
        <v>27</v>
      </c>
      <c r="C31" s="92" t="s">
        <v>370</v>
      </c>
      <c r="D31" s="96">
        <v>0</v>
      </c>
      <c r="E31" s="93"/>
      <c r="F31" s="97">
        <v>20.85424008502545</v>
      </c>
      <c r="G31" s="97">
        <f t="shared" si="0"/>
        <v>20.85424008502545</v>
      </c>
      <c r="H31" s="97">
        <f t="shared" si="1"/>
        <v>0</v>
      </c>
      <c r="I31" s="93"/>
      <c r="J31" s="97">
        <v>11.516149608752652</v>
      </c>
      <c r="K31" s="97">
        <f t="shared" si="2"/>
        <v>11.516149608752652</v>
      </c>
      <c r="L31" s="97">
        <f t="shared" si="3"/>
        <v>0</v>
      </c>
      <c r="M31" s="93"/>
      <c r="N31" s="97">
        <v>9.741643841258725</v>
      </c>
      <c r="O31" s="97">
        <f t="shared" si="4"/>
        <v>9.741643841258725</v>
      </c>
      <c r="P31" s="97">
        <f t="shared" si="5"/>
        <v>0</v>
      </c>
      <c r="Q31" s="93"/>
      <c r="R31" s="97"/>
      <c r="S31" s="93"/>
      <c r="T31" s="97"/>
      <c r="U31" s="93"/>
      <c r="V31" s="97"/>
      <c r="W31" s="93"/>
      <c r="X31" s="97"/>
      <c r="Y31" s="93"/>
      <c r="Z31" s="97"/>
      <c r="AA31" s="93"/>
      <c r="AB31" s="98"/>
      <c r="AC31" s="93"/>
      <c r="AD31" s="98"/>
      <c r="AE31" s="93"/>
      <c r="AF31" s="98"/>
      <c r="AG31" s="93"/>
      <c r="AH31" s="98"/>
      <c r="AI31" s="93"/>
      <c r="AJ31" s="98"/>
      <c r="AK31" s="93"/>
      <c r="AL31" s="98"/>
      <c r="AM31" s="93"/>
      <c r="AN31" s="98"/>
      <c r="AO31" s="93"/>
      <c r="AP31" s="98"/>
    </row>
    <row r="32" spans="1:42" s="92" customFormat="1" ht="12.75">
      <c r="A32" s="92" t="s">
        <v>294</v>
      </c>
      <c r="B32" s="92">
        <v>28</v>
      </c>
      <c r="C32" s="92" t="s">
        <v>371</v>
      </c>
      <c r="D32" s="96">
        <v>0</v>
      </c>
      <c r="E32" s="93"/>
      <c r="F32" s="97">
        <v>28.339486491022</v>
      </c>
      <c r="G32" s="97">
        <f t="shared" si="0"/>
        <v>28.339486491022</v>
      </c>
      <c r="H32" s="97">
        <f t="shared" si="1"/>
        <v>0</v>
      </c>
      <c r="I32" s="93"/>
      <c r="J32" s="97">
        <v>15.946783305996</v>
      </c>
      <c r="K32" s="97">
        <f t="shared" si="2"/>
        <v>15.946783305996</v>
      </c>
      <c r="L32" s="97">
        <f t="shared" si="3"/>
        <v>0</v>
      </c>
      <c r="M32" s="93"/>
      <c r="N32" s="97">
        <v>13.094576133890753</v>
      </c>
      <c r="O32" s="97">
        <f t="shared" si="4"/>
        <v>13.094576133890753</v>
      </c>
      <c r="P32" s="97">
        <f t="shared" si="5"/>
        <v>0</v>
      </c>
      <c r="Q32" s="93"/>
      <c r="R32" s="97"/>
      <c r="S32" s="93"/>
      <c r="T32" s="97"/>
      <c r="U32" s="93"/>
      <c r="V32" s="97"/>
      <c r="W32" s="93"/>
      <c r="X32" s="97"/>
      <c r="Y32" s="93"/>
      <c r="Z32" s="97"/>
      <c r="AA32" s="93"/>
      <c r="AB32" s="98"/>
      <c r="AC32" s="93"/>
      <c r="AD32" s="98"/>
      <c r="AE32" s="93"/>
      <c r="AF32" s="98"/>
      <c r="AG32" s="93"/>
      <c r="AH32" s="98"/>
      <c r="AI32" s="93"/>
      <c r="AJ32" s="98"/>
      <c r="AK32" s="93"/>
      <c r="AL32" s="98"/>
      <c r="AM32" s="93"/>
      <c r="AN32" s="98"/>
      <c r="AO32" s="93"/>
      <c r="AP32" s="98"/>
    </row>
    <row r="33" spans="1:42" s="92" customFormat="1" ht="12.75">
      <c r="A33" s="92" t="s">
        <v>294</v>
      </c>
      <c r="B33" s="92">
        <v>29</v>
      </c>
      <c r="C33" s="92" t="s">
        <v>372</v>
      </c>
      <c r="D33" s="96">
        <v>0.01</v>
      </c>
      <c r="E33" s="93"/>
      <c r="F33" s="97">
        <v>9.83806007719416</v>
      </c>
      <c r="G33" s="97">
        <f t="shared" si="0"/>
        <v>9.83806007719416</v>
      </c>
      <c r="H33" s="97">
        <f t="shared" si="1"/>
        <v>0.0983806007719416</v>
      </c>
      <c r="I33" s="93"/>
      <c r="J33" s="97">
        <v>5.061817668741955</v>
      </c>
      <c r="K33" s="97">
        <f t="shared" si="2"/>
        <v>5.061817668741955</v>
      </c>
      <c r="L33" s="97">
        <f t="shared" si="3"/>
        <v>0.050618176687419546</v>
      </c>
      <c r="M33" s="93"/>
      <c r="N33" s="97">
        <v>3.796225741568329</v>
      </c>
      <c r="O33" s="97">
        <f t="shared" si="4"/>
        <v>3.796225741568329</v>
      </c>
      <c r="P33" s="97">
        <f t="shared" si="5"/>
        <v>0.03796225741568329</v>
      </c>
      <c r="Q33" s="93"/>
      <c r="R33" s="97"/>
      <c r="S33" s="93"/>
      <c r="T33" s="97"/>
      <c r="U33" s="93"/>
      <c r="V33" s="97"/>
      <c r="W33" s="93"/>
      <c r="X33" s="97"/>
      <c r="Y33" s="93"/>
      <c r="Z33" s="97"/>
      <c r="AA33" s="93"/>
      <c r="AB33" s="98"/>
      <c r="AC33" s="93"/>
      <c r="AD33" s="98"/>
      <c r="AE33" s="93"/>
      <c r="AF33" s="98"/>
      <c r="AG33" s="93"/>
      <c r="AH33" s="98"/>
      <c r="AI33" s="93"/>
      <c r="AJ33" s="98"/>
      <c r="AK33" s="93"/>
      <c r="AL33" s="98"/>
      <c r="AM33" s="93"/>
      <c r="AN33" s="98"/>
      <c r="AO33" s="93"/>
      <c r="AP33" s="98"/>
    </row>
    <row r="34" spans="1:42" s="92" customFormat="1" ht="12.75">
      <c r="A34" s="92" t="s">
        <v>294</v>
      </c>
      <c r="B34" s="92">
        <v>30</v>
      </c>
      <c r="C34" s="92" t="s">
        <v>373</v>
      </c>
      <c r="D34" s="96">
        <v>0.01</v>
      </c>
      <c r="E34" s="93"/>
      <c r="F34" s="97">
        <v>0.6313978855512671</v>
      </c>
      <c r="G34" s="97">
        <f t="shared" si="0"/>
        <v>0.6313978855512671</v>
      </c>
      <c r="H34" s="97">
        <f t="shared" si="1"/>
        <v>0.006313978855512671</v>
      </c>
      <c r="I34" s="93"/>
      <c r="J34" s="97">
        <v>0.4279910874383441</v>
      </c>
      <c r="K34" s="97">
        <f t="shared" si="2"/>
        <v>0.4279910874383441</v>
      </c>
      <c r="L34" s="97">
        <f t="shared" si="3"/>
        <v>0.004279910874383441</v>
      </c>
      <c r="M34" s="93"/>
      <c r="N34" s="97">
        <v>0.26549553445778495</v>
      </c>
      <c r="O34" s="97">
        <f t="shared" si="4"/>
        <v>0.26549553445778495</v>
      </c>
      <c r="P34" s="97">
        <f t="shared" si="5"/>
        <v>0.0026549553445778494</v>
      </c>
      <c r="Q34" s="93"/>
      <c r="R34" s="97"/>
      <c r="S34" s="93"/>
      <c r="T34" s="97"/>
      <c r="U34" s="93"/>
      <c r="V34" s="97"/>
      <c r="W34" s="93"/>
      <c r="X34" s="97"/>
      <c r="Y34" s="93"/>
      <c r="Z34" s="97"/>
      <c r="AA34" s="93"/>
      <c r="AB34" s="98"/>
      <c r="AC34" s="93"/>
      <c r="AD34" s="98"/>
      <c r="AE34" s="93"/>
      <c r="AF34" s="98"/>
      <c r="AG34" s="93"/>
      <c r="AH34" s="98"/>
      <c r="AI34" s="93"/>
      <c r="AJ34" s="98"/>
      <c r="AK34" s="93"/>
      <c r="AL34" s="98"/>
      <c r="AM34" s="93"/>
      <c r="AN34" s="98"/>
      <c r="AO34" s="93"/>
      <c r="AP34" s="98"/>
    </row>
    <row r="35" spans="1:42" s="92" customFormat="1" ht="12.75">
      <c r="A35" s="92" t="s">
        <v>294</v>
      </c>
      <c r="B35" s="92">
        <v>31</v>
      </c>
      <c r="C35" s="92" t="s">
        <v>374</v>
      </c>
      <c r="D35" s="96">
        <v>0</v>
      </c>
      <c r="E35" s="93"/>
      <c r="F35" s="97">
        <v>4.899451809587736</v>
      </c>
      <c r="G35" s="97">
        <f t="shared" si="0"/>
        <v>4.899451809587736</v>
      </c>
      <c r="H35" s="97">
        <f t="shared" si="1"/>
        <v>0</v>
      </c>
      <c r="I35" s="93"/>
      <c r="J35" s="97">
        <v>3.0494364979982</v>
      </c>
      <c r="K35" s="97">
        <f t="shared" si="2"/>
        <v>3.0494364979982</v>
      </c>
      <c r="L35" s="97">
        <f t="shared" si="3"/>
        <v>0</v>
      </c>
      <c r="M35" s="93"/>
      <c r="N35" s="97">
        <v>2.245299338921267</v>
      </c>
      <c r="O35" s="97">
        <f t="shared" si="4"/>
        <v>2.245299338921267</v>
      </c>
      <c r="P35" s="97">
        <f t="shared" si="5"/>
        <v>0</v>
      </c>
      <c r="Q35" s="93"/>
      <c r="R35" s="97"/>
      <c r="S35" s="93"/>
      <c r="T35" s="97"/>
      <c r="U35" s="93"/>
      <c r="V35" s="97"/>
      <c r="W35" s="93"/>
      <c r="X35" s="97"/>
      <c r="Y35" s="93"/>
      <c r="Z35" s="97"/>
      <c r="AA35" s="93"/>
      <c r="AB35" s="98"/>
      <c r="AC35" s="93"/>
      <c r="AD35" s="98"/>
      <c r="AE35" s="93"/>
      <c r="AF35" s="98"/>
      <c r="AG35" s="93"/>
      <c r="AH35" s="98"/>
      <c r="AI35" s="93"/>
      <c r="AJ35" s="98"/>
      <c r="AK35" s="93"/>
      <c r="AL35" s="98"/>
      <c r="AM35" s="93"/>
      <c r="AN35" s="98"/>
      <c r="AO35" s="93"/>
      <c r="AP35" s="98"/>
    </row>
    <row r="36" spans="1:42" s="92" customFormat="1" ht="12.75">
      <c r="A36" s="92" t="s">
        <v>294</v>
      </c>
      <c r="B36" s="92">
        <v>32</v>
      </c>
      <c r="C36" s="92" t="s">
        <v>375</v>
      </c>
      <c r="D36" s="96">
        <v>0</v>
      </c>
      <c r="E36" s="93"/>
      <c r="F36" s="97">
        <v>15.368909772333165</v>
      </c>
      <c r="G36" s="97">
        <f t="shared" si="0"/>
        <v>15.368909772333165</v>
      </c>
      <c r="H36" s="97">
        <f t="shared" si="1"/>
        <v>0</v>
      </c>
      <c r="I36" s="93"/>
      <c r="J36" s="97">
        <v>8.5392452541785</v>
      </c>
      <c r="K36" s="97">
        <f t="shared" si="2"/>
        <v>8.5392452541785</v>
      </c>
      <c r="L36" s="97">
        <f t="shared" si="3"/>
        <v>0</v>
      </c>
      <c r="M36" s="93"/>
      <c r="N36" s="97">
        <v>6.3070206149473815</v>
      </c>
      <c r="O36" s="97">
        <f t="shared" si="4"/>
        <v>6.3070206149473815</v>
      </c>
      <c r="P36" s="97">
        <f t="shared" si="5"/>
        <v>0</v>
      </c>
      <c r="Q36" s="93"/>
      <c r="R36" s="97"/>
      <c r="S36" s="93"/>
      <c r="T36" s="97"/>
      <c r="U36" s="93"/>
      <c r="V36" s="97"/>
      <c r="W36" s="93"/>
      <c r="X36" s="97"/>
      <c r="Y36" s="93"/>
      <c r="Z36" s="97"/>
      <c r="AA36" s="93"/>
      <c r="AB36" s="98"/>
      <c r="AC36" s="93"/>
      <c r="AD36" s="98"/>
      <c r="AE36" s="93"/>
      <c r="AF36" s="98"/>
      <c r="AG36" s="93"/>
      <c r="AH36" s="98"/>
      <c r="AI36" s="93"/>
      <c r="AJ36" s="98"/>
      <c r="AK36" s="93"/>
      <c r="AL36" s="98"/>
      <c r="AM36" s="93"/>
      <c r="AN36" s="98"/>
      <c r="AO36" s="93"/>
      <c r="AP36" s="98"/>
    </row>
    <row r="37" spans="1:42" s="92" customFormat="1" ht="12.75">
      <c r="A37" s="92" t="s">
        <v>294</v>
      </c>
      <c r="B37" s="92">
        <v>33</v>
      </c>
      <c r="C37" s="92" t="s">
        <v>376</v>
      </c>
      <c r="D37" s="96">
        <v>0.001</v>
      </c>
      <c r="E37" s="93"/>
      <c r="F37" s="97">
        <v>1.1795882978128323</v>
      </c>
      <c r="G37" s="97">
        <f t="shared" si="0"/>
        <v>1.1795882978128323</v>
      </c>
      <c r="H37" s="97">
        <f t="shared" si="1"/>
        <v>0.0011795882978128322</v>
      </c>
      <c r="I37" s="93"/>
      <c r="J37" s="97">
        <v>0.85392452541785</v>
      </c>
      <c r="K37" s="97">
        <f t="shared" si="2"/>
        <v>0.85392452541785</v>
      </c>
      <c r="L37" s="97">
        <f t="shared" si="3"/>
        <v>0.00085392452541785</v>
      </c>
      <c r="M37" s="93"/>
      <c r="N37" s="97">
        <v>0.5904572632850739</v>
      </c>
      <c r="O37" s="97">
        <f t="shared" si="4"/>
        <v>0.5904572632850739</v>
      </c>
      <c r="P37" s="97">
        <f t="shared" si="5"/>
        <v>0.0005904572632850738</v>
      </c>
      <c r="Q37" s="93"/>
      <c r="R37" s="97"/>
      <c r="S37" s="93"/>
      <c r="T37" s="97"/>
      <c r="U37" s="93"/>
      <c r="V37" s="97"/>
      <c r="W37" s="93"/>
      <c r="X37" s="97"/>
      <c r="Y37" s="93"/>
      <c r="Z37" s="97"/>
      <c r="AA37" s="93"/>
      <c r="AB37" s="98"/>
      <c r="AC37" s="93"/>
      <c r="AD37" s="98"/>
      <c r="AE37" s="93"/>
      <c r="AF37" s="98"/>
      <c r="AG37" s="93"/>
      <c r="AH37" s="98"/>
      <c r="AI37" s="93"/>
      <c r="AJ37" s="98"/>
      <c r="AK37" s="93"/>
      <c r="AL37" s="98"/>
      <c r="AM37" s="93"/>
      <c r="AN37" s="98"/>
      <c r="AO37" s="93"/>
      <c r="AP37" s="98"/>
    </row>
    <row r="38" spans="1:42" s="92" customFormat="1" ht="12.75">
      <c r="A38" s="92" t="s">
        <v>294</v>
      </c>
      <c r="B38" s="92">
        <v>34</v>
      </c>
      <c r="C38" s="92" t="s">
        <v>377</v>
      </c>
      <c r="D38" s="96"/>
      <c r="E38" s="93"/>
      <c r="F38" s="97">
        <v>92.827725569167</v>
      </c>
      <c r="G38" s="97">
        <f>SUM(G37,G36,G32,G26,G22,G19,G18,G15,G10,G7)</f>
        <v>92.82772556916711</v>
      </c>
      <c r="H38" s="97"/>
      <c r="I38" s="93"/>
      <c r="J38" s="97">
        <v>58.2283932109326</v>
      </c>
      <c r="K38" s="97">
        <f>SUM(K37,K36,K32,K26,K22,K19,K18,K15,K10,K7)</f>
        <v>58.22839321093254</v>
      </c>
      <c r="L38" s="97"/>
      <c r="M38" s="93"/>
      <c r="N38" s="97">
        <v>47.97900748947972</v>
      </c>
      <c r="O38" s="97">
        <f>SUM(O37,O36,O32,O26,O22,O19,O18,O15,O10,O7)</f>
        <v>47.97900748947972</v>
      </c>
      <c r="P38" s="97"/>
      <c r="Q38" s="93"/>
      <c r="R38" s="97"/>
      <c r="S38" s="93"/>
      <c r="T38" s="97"/>
      <c r="U38" s="93"/>
      <c r="V38" s="97"/>
      <c r="W38" s="93"/>
      <c r="X38" s="97"/>
      <c r="Y38" s="93"/>
      <c r="Z38" s="97"/>
      <c r="AA38" s="93"/>
      <c r="AB38" s="98"/>
      <c r="AC38" s="93"/>
      <c r="AD38" s="98"/>
      <c r="AE38" s="93"/>
      <c r="AF38" s="98"/>
      <c r="AG38" s="93"/>
      <c r="AH38" s="98"/>
      <c r="AI38" s="93"/>
      <c r="AJ38" s="98"/>
      <c r="AK38" s="93"/>
      <c r="AL38" s="98"/>
      <c r="AM38" s="93"/>
      <c r="AN38" s="98"/>
      <c r="AO38" s="93"/>
      <c r="AP38" s="98"/>
    </row>
    <row r="39" spans="1:42" s="92" customFormat="1" ht="12.75">
      <c r="A39" s="92" t="s">
        <v>294</v>
      </c>
      <c r="B39" s="92">
        <v>35</v>
      </c>
      <c r="C39" s="92" t="s">
        <v>27</v>
      </c>
      <c r="D39" s="96"/>
      <c r="E39" s="94">
        <f>(F39-H39)*2/F39*100</f>
        <v>0</v>
      </c>
      <c r="F39" s="97">
        <v>1.704732687251776</v>
      </c>
      <c r="G39" s="97"/>
      <c r="H39" s="97">
        <f>SUM(H5:H37)</f>
        <v>1.704732687251776</v>
      </c>
      <c r="I39" s="94">
        <f>(J39-L39)*2/J39*100</f>
        <v>0</v>
      </c>
      <c r="J39" s="97">
        <v>1.1132367119937447</v>
      </c>
      <c r="K39" s="97"/>
      <c r="L39" s="97">
        <f>SUM(L5:L37)</f>
        <v>1.1132367119937447</v>
      </c>
      <c r="M39" s="94">
        <f>(N39-P39)*2/N39*100</f>
        <v>0</v>
      </c>
      <c r="N39" s="97">
        <v>0.8220474562541618</v>
      </c>
      <c r="O39" s="97"/>
      <c r="P39" s="97">
        <f>SUM(P5:P37)</f>
        <v>0.8220474562541618</v>
      </c>
      <c r="Q39" s="93"/>
      <c r="R39" s="97"/>
      <c r="S39" s="93"/>
      <c r="T39" s="97"/>
      <c r="U39" s="93"/>
      <c r="V39" s="97"/>
      <c r="W39" s="93"/>
      <c r="X39" s="97"/>
      <c r="Y39" s="93"/>
      <c r="Z39" s="97"/>
      <c r="AA39" s="93"/>
      <c r="AB39" s="98"/>
      <c r="AC39" s="93"/>
      <c r="AD39" s="98"/>
      <c r="AE39" s="93"/>
      <c r="AF39" s="98"/>
      <c r="AG39" s="93"/>
      <c r="AH39" s="98"/>
      <c r="AI39" s="93"/>
      <c r="AJ39" s="98"/>
      <c r="AK39" s="93"/>
      <c r="AL39" s="98"/>
      <c r="AM39" s="93"/>
      <c r="AN39" s="98"/>
      <c r="AO39" s="93"/>
      <c r="AP39" s="98"/>
    </row>
  </sheetData>
  <printOptions headings="1" horizontalCentered="1"/>
  <pageMargins left="0.25" right="0.25" top="0.5" bottom="0.5" header="0.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C39"/>
  <sheetViews>
    <sheetView workbookViewId="0" topLeftCell="C1">
      <pane ySplit="1260" topLeftCell="BM1" activePane="topLeft" state="split"/>
      <selection pane="topLeft" activeCell="B2" sqref="B2"/>
      <selection pane="bottomLeft" activeCell="B2" sqref="B2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4" max="4" width="7.00390625" style="95" customWidth="1"/>
    <col min="5" max="5" width="3.7109375" style="0" customWidth="1"/>
    <col min="7" max="7" width="7.7109375" style="69" customWidth="1"/>
    <col min="8" max="8" width="8.28125" style="69" customWidth="1"/>
    <col min="9" max="9" width="5.57421875" style="0" customWidth="1"/>
    <col min="11" max="11" width="7.7109375" style="69" customWidth="1"/>
    <col min="12" max="12" width="8.28125" style="69" customWidth="1"/>
    <col min="13" max="13" width="3.8515625" style="0" customWidth="1"/>
    <col min="15" max="15" width="7.7109375" style="69" customWidth="1"/>
    <col min="16" max="16" width="8.28125" style="69" customWidth="1"/>
  </cols>
  <sheetData>
    <row r="1" ht="12.75">
      <c r="C1" s="6" t="s">
        <v>297</v>
      </c>
    </row>
    <row r="2" spans="5:16" ht="12.75">
      <c r="E2" s="133"/>
      <c r="F2" s="133" t="s">
        <v>54</v>
      </c>
      <c r="G2" s="134"/>
      <c r="H2" s="134"/>
      <c r="I2" s="119"/>
      <c r="J2" s="133" t="s">
        <v>109</v>
      </c>
      <c r="K2" s="134"/>
      <c r="L2" s="134"/>
      <c r="M2" s="119"/>
      <c r="N2" s="133" t="s">
        <v>55</v>
      </c>
      <c r="O2" s="134"/>
      <c r="P2" s="134"/>
    </row>
    <row r="3" spans="4:16" ht="12.75">
      <c r="D3" s="95" t="s">
        <v>23</v>
      </c>
      <c r="F3" s="50" t="s">
        <v>25</v>
      </c>
      <c r="G3" s="110" t="s">
        <v>25</v>
      </c>
      <c r="H3" s="110" t="s">
        <v>27</v>
      </c>
      <c r="I3" s="50"/>
      <c r="J3" s="50" t="s">
        <v>25</v>
      </c>
      <c r="K3" s="110" t="s">
        <v>25</v>
      </c>
      <c r="L3" s="110" t="s">
        <v>27</v>
      </c>
      <c r="M3" s="50"/>
      <c r="N3" s="50" t="s">
        <v>25</v>
      </c>
      <c r="O3" s="110" t="s">
        <v>25</v>
      </c>
      <c r="P3" s="110" t="s">
        <v>27</v>
      </c>
    </row>
    <row r="4" spans="4:16" ht="12.75">
      <c r="D4" s="95" t="s">
        <v>342</v>
      </c>
      <c r="F4" s="50" t="s">
        <v>343</v>
      </c>
      <c r="G4" s="110" t="s">
        <v>71</v>
      </c>
      <c r="H4" s="110" t="s">
        <v>71</v>
      </c>
      <c r="I4" s="50"/>
      <c r="J4" s="50" t="s">
        <v>343</v>
      </c>
      <c r="K4" s="110" t="s">
        <v>71</v>
      </c>
      <c r="L4" s="110" t="s">
        <v>71</v>
      </c>
      <c r="M4" s="50"/>
      <c r="N4" s="50" t="s">
        <v>343</v>
      </c>
      <c r="O4" s="110" t="s">
        <v>71</v>
      </c>
      <c r="P4" s="110" t="s">
        <v>71</v>
      </c>
    </row>
    <row r="5" spans="1:29" s="92" customFormat="1" ht="12.75">
      <c r="A5" s="92" t="s">
        <v>297</v>
      </c>
      <c r="B5" s="92">
        <v>1</v>
      </c>
      <c r="C5" s="92" t="s">
        <v>344</v>
      </c>
      <c r="D5" s="96">
        <v>1</v>
      </c>
      <c r="E5" s="93"/>
      <c r="F5" s="97">
        <v>0.04035512510088782</v>
      </c>
      <c r="G5" s="97">
        <f>IF(E5=1,F5/2,F5)</f>
        <v>0.04035512510088782</v>
      </c>
      <c r="H5" s="97">
        <f>G5*$D5</f>
        <v>0.04035512510088782</v>
      </c>
      <c r="I5" s="93"/>
      <c r="J5" s="97">
        <v>0.04779432745534441</v>
      </c>
      <c r="K5" s="97">
        <f>IF(I5=1,J5/2,J5)</f>
        <v>0.04779432745534441</v>
      </c>
      <c r="L5" s="97">
        <f>K5*$D5</f>
        <v>0.04779432745534441</v>
      </c>
      <c r="M5" s="93"/>
      <c r="N5" s="97">
        <v>0.04965737470247927</v>
      </c>
      <c r="O5" s="97">
        <f>IF(M5=1,N5/2,N5)</f>
        <v>0.04965737470247927</v>
      </c>
      <c r="P5" s="97">
        <f>O5*$D5</f>
        <v>0.04965737470247927</v>
      </c>
      <c r="Q5" s="98"/>
      <c r="R5" s="93"/>
      <c r="S5" s="98"/>
      <c r="T5" s="93"/>
      <c r="U5" s="98"/>
      <c r="V5" s="93"/>
      <c r="W5" s="98"/>
      <c r="X5" s="93"/>
      <c r="Y5" s="98"/>
      <c r="Z5" s="93"/>
      <c r="AA5" s="98"/>
      <c r="AB5" s="93"/>
      <c r="AC5" s="98"/>
    </row>
    <row r="6" spans="1:29" s="92" customFormat="1" ht="12.75">
      <c r="A6" s="92" t="s">
        <v>297</v>
      </c>
      <c r="B6" s="92">
        <v>2</v>
      </c>
      <c r="C6" s="92" t="s">
        <v>345</v>
      </c>
      <c r="D6" s="96">
        <v>0</v>
      </c>
      <c r="E6" s="93"/>
      <c r="F6" s="97">
        <v>0.7883661939352012</v>
      </c>
      <c r="G6" s="97">
        <f aca="true" t="shared" si="0" ref="G6:G37">IF(E6=1,F6/2,F6)</f>
        <v>0.7883661939352012</v>
      </c>
      <c r="H6" s="97">
        <f aca="true" t="shared" si="1" ref="H6:H37">G6*$D6</f>
        <v>0</v>
      </c>
      <c r="I6" s="93"/>
      <c r="J6" s="97">
        <v>0.80108999600525</v>
      </c>
      <c r="K6" s="97">
        <f aca="true" t="shared" si="2" ref="K6:K37">IF(I6=1,J6/2,J6)</f>
        <v>0.80108999600525</v>
      </c>
      <c r="L6" s="97">
        <f aca="true" t="shared" si="3" ref="L6:L37">K6*$D6</f>
        <v>0</v>
      </c>
      <c r="M6" s="93"/>
      <c r="N6" s="97">
        <v>0.7433783108445775</v>
      </c>
      <c r="O6" s="97">
        <f aca="true" t="shared" si="4" ref="O6:O37">IF(M6=1,N6/2,N6)</f>
        <v>0.7433783108445775</v>
      </c>
      <c r="P6" s="97">
        <f aca="true" t="shared" si="5" ref="P6:P37">O6*$D6</f>
        <v>0</v>
      </c>
      <c r="Q6" s="98"/>
      <c r="R6" s="93"/>
      <c r="S6" s="98"/>
      <c r="T6" s="93"/>
      <c r="U6" s="98"/>
      <c r="V6" s="93"/>
      <c r="W6" s="98"/>
      <c r="X6" s="93"/>
      <c r="Y6" s="98"/>
      <c r="Z6" s="93"/>
      <c r="AA6" s="98"/>
      <c r="AB6" s="93"/>
      <c r="AC6" s="98"/>
    </row>
    <row r="7" spans="1:29" s="92" customFormat="1" ht="12.75">
      <c r="A7" s="92" t="s">
        <v>297</v>
      </c>
      <c r="B7" s="92">
        <v>3</v>
      </c>
      <c r="C7" s="92" t="s">
        <v>346</v>
      </c>
      <c r="D7" s="96">
        <v>0</v>
      </c>
      <c r="E7" s="93"/>
      <c r="F7" s="97">
        <v>0.82872131903609</v>
      </c>
      <c r="G7" s="97">
        <f t="shared" si="0"/>
        <v>0.82872131903609</v>
      </c>
      <c r="H7" s="97">
        <f t="shared" si="1"/>
        <v>0</v>
      </c>
      <c r="I7" s="93"/>
      <c r="J7" s="97">
        <v>0.8488843234605947</v>
      </c>
      <c r="K7" s="97">
        <f t="shared" si="2"/>
        <v>0.8488843234605947</v>
      </c>
      <c r="L7" s="97">
        <f t="shared" si="3"/>
        <v>0</v>
      </c>
      <c r="M7" s="93"/>
      <c r="N7" s="97">
        <v>0.7930356855470568</v>
      </c>
      <c r="O7" s="97">
        <f t="shared" si="4"/>
        <v>0.7930356855470568</v>
      </c>
      <c r="P7" s="97">
        <f t="shared" si="5"/>
        <v>0</v>
      </c>
      <c r="Q7" s="98"/>
      <c r="R7" s="93"/>
      <c r="S7" s="98"/>
      <c r="T7" s="93"/>
      <c r="U7" s="98"/>
      <c r="V7" s="93"/>
      <c r="W7" s="98"/>
      <c r="X7" s="93"/>
      <c r="Y7" s="98"/>
      <c r="Z7" s="93"/>
      <c r="AA7" s="98"/>
      <c r="AB7" s="93"/>
      <c r="AC7" s="98"/>
    </row>
    <row r="8" spans="1:29" s="92" customFormat="1" ht="12.75">
      <c r="A8" s="92" t="s">
        <v>297</v>
      </c>
      <c r="B8" s="92">
        <v>4</v>
      </c>
      <c r="C8" s="92" t="s">
        <v>347</v>
      </c>
      <c r="D8" s="96">
        <v>0.5</v>
      </c>
      <c r="E8" s="93"/>
      <c r="F8" s="97">
        <v>0.18231869018794</v>
      </c>
      <c r="G8" s="97">
        <f t="shared" si="0"/>
        <v>0.18231869018794</v>
      </c>
      <c r="H8" s="97">
        <f t="shared" si="1"/>
        <v>0.09115934509397</v>
      </c>
      <c r="I8" s="93"/>
      <c r="J8" s="97">
        <v>0.2154311476345375</v>
      </c>
      <c r="K8" s="97">
        <f t="shared" si="2"/>
        <v>0.2154311476345375</v>
      </c>
      <c r="L8" s="97">
        <f t="shared" si="3"/>
        <v>0.10771557381726875</v>
      </c>
      <c r="M8" s="93"/>
      <c r="N8" s="97">
        <v>0.29201500944443</v>
      </c>
      <c r="O8" s="97">
        <f t="shared" si="4"/>
        <v>0.29201500944443</v>
      </c>
      <c r="P8" s="97">
        <f t="shared" si="5"/>
        <v>0.146007504722215</v>
      </c>
      <c r="Q8" s="98"/>
      <c r="R8" s="93"/>
      <c r="S8" s="98"/>
      <c r="T8" s="93"/>
      <c r="U8" s="98"/>
      <c r="V8" s="93"/>
      <c r="W8" s="98"/>
      <c r="X8" s="93"/>
      <c r="Y8" s="98"/>
      <c r="Z8" s="93"/>
      <c r="AA8" s="98"/>
      <c r="AB8" s="93"/>
      <c r="AC8" s="98"/>
    </row>
    <row r="9" spans="1:29" s="92" customFormat="1" ht="12.75">
      <c r="A9" s="92" t="s">
        <v>297</v>
      </c>
      <c r="B9" s="92">
        <v>5</v>
      </c>
      <c r="C9" s="92" t="s">
        <v>348</v>
      </c>
      <c r="D9" s="96">
        <v>0</v>
      </c>
      <c r="E9" s="93"/>
      <c r="F9" s="97">
        <v>1.5832180329759</v>
      </c>
      <c r="G9" s="97">
        <f t="shared" si="0"/>
        <v>1.5832180329759</v>
      </c>
      <c r="H9" s="97">
        <f t="shared" si="1"/>
        <v>0</v>
      </c>
      <c r="I9" s="93"/>
      <c r="J9" s="97">
        <v>1.8390115847743</v>
      </c>
      <c r="K9" s="97">
        <f t="shared" si="2"/>
        <v>1.8390115847743</v>
      </c>
      <c r="L9" s="97">
        <f t="shared" si="3"/>
        <v>0</v>
      </c>
      <c r="M9" s="93"/>
      <c r="N9" s="97">
        <v>1.78321856021142</v>
      </c>
      <c r="O9" s="97">
        <f t="shared" si="4"/>
        <v>1.78321856021142</v>
      </c>
      <c r="P9" s="97">
        <f t="shared" si="5"/>
        <v>0</v>
      </c>
      <c r="Q9" s="98"/>
      <c r="R9" s="93"/>
      <c r="S9" s="98"/>
      <c r="T9" s="93"/>
      <c r="U9" s="98"/>
      <c r="V9" s="93"/>
      <c r="W9" s="98"/>
      <c r="X9" s="93"/>
      <c r="Y9" s="98"/>
      <c r="Z9" s="93"/>
      <c r="AA9" s="98"/>
      <c r="AB9" s="93"/>
      <c r="AC9" s="98"/>
    </row>
    <row r="10" spans="1:29" s="92" customFormat="1" ht="12.75">
      <c r="A10" s="92" t="s">
        <v>297</v>
      </c>
      <c r="B10" s="92">
        <v>6</v>
      </c>
      <c r="C10" s="92" t="s">
        <v>349</v>
      </c>
      <c r="D10" s="96">
        <v>0</v>
      </c>
      <c r="E10" s="93"/>
      <c r="F10" s="97">
        <v>1.7655367231638417</v>
      </c>
      <c r="G10" s="97">
        <f t="shared" si="0"/>
        <v>1.7655367231638417</v>
      </c>
      <c r="H10" s="97">
        <f t="shared" si="1"/>
        <v>0</v>
      </c>
      <c r="I10" s="93"/>
      <c r="J10" s="97">
        <v>2.0544427324088343</v>
      </c>
      <c r="K10" s="97">
        <f t="shared" si="2"/>
        <v>2.0544427324088343</v>
      </c>
      <c r="L10" s="97">
        <f t="shared" si="3"/>
        <v>0</v>
      </c>
      <c r="M10" s="93"/>
      <c r="N10" s="97">
        <v>2.07523356965585</v>
      </c>
      <c r="O10" s="97">
        <f t="shared" si="4"/>
        <v>2.07523356965585</v>
      </c>
      <c r="P10" s="97">
        <f t="shared" si="5"/>
        <v>0</v>
      </c>
      <c r="Q10" s="98"/>
      <c r="R10" s="93"/>
      <c r="S10" s="98"/>
      <c r="T10" s="93"/>
      <c r="U10" s="98"/>
      <c r="V10" s="93"/>
      <c r="W10" s="98"/>
      <c r="X10" s="93"/>
      <c r="Y10" s="98"/>
      <c r="Z10" s="93"/>
      <c r="AA10" s="98"/>
      <c r="AB10" s="93"/>
      <c r="AC10" s="98"/>
    </row>
    <row r="11" spans="1:29" s="92" customFormat="1" ht="12.75">
      <c r="A11" s="92" t="s">
        <v>297</v>
      </c>
      <c r="B11" s="92">
        <v>7</v>
      </c>
      <c r="C11" s="92" t="s">
        <v>350</v>
      </c>
      <c r="D11" s="96">
        <v>0.1</v>
      </c>
      <c r="E11" s="93"/>
      <c r="F11" s="97">
        <v>0.1657442638072178</v>
      </c>
      <c r="G11" s="97">
        <f t="shared" si="0"/>
        <v>0.1657442638072178</v>
      </c>
      <c r="H11" s="97">
        <f t="shared" si="1"/>
        <v>0.01657442638072178</v>
      </c>
      <c r="I11" s="93"/>
      <c r="J11" s="97">
        <v>0.33028020316156</v>
      </c>
      <c r="K11" s="97">
        <f t="shared" si="2"/>
        <v>0.33028020316156</v>
      </c>
      <c r="L11" s="97">
        <f t="shared" si="3"/>
        <v>0.033028020316156</v>
      </c>
      <c r="M11" s="93"/>
      <c r="N11" s="97">
        <v>0.3661304940749963</v>
      </c>
      <c r="O11" s="97">
        <f t="shared" si="4"/>
        <v>0.3661304940749963</v>
      </c>
      <c r="P11" s="97">
        <f t="shared" si="5"/>
        <v>0.03661304940749963</v>
      </c>
      <c r="Q11" s="98"/>
      <c r="R11" s="93"/>
      <c r="S11" s="98"/>
      <c r="T11" s="93"/>
      <c r="U11" s="98"/>
      <c r="V11" s="93"/>
      <c r="W11" s="98"/>
      <c r="X11" s="93"/>
      <c r="Y11" s="98"/>
      <c r="Z11" s="93"/>
      <c r="AA11" s="98"/>
      <c r="AB11" s="93"/>
      <c r="AC11" s="98"/>
    </row>
    <row r="12" spans="1:29" s="92" customFormat="1" ht="12.75">
      <c r="A12" s="92" t="s">
        <v>297</v>
      </c>
      <c r="B12" s="92">
        <v>8</v>
      </c>
      <c r="C12" s="92" t="s">
        <v>351</v>
      </c>
      <c r="D12" s="96">
        <v>0.1</v>
      </c>
      <c r="E12" s="93"/>
      <c r="F12" s="97">
        <v>0.24861639571082672</v>
      </c>
      <c r="G12" s="97">
        <f t="shared" si="0"/>
        <v>0.24861639571082672</v>
      </c>
      <c r="H12" s="97">
        <f t="shared" si="1"/>
        <v>0.024861639571082672</v>
      </c>
      <c r="I12" s="93"/>
      <c r="J12" s="97">
        <v>0.4108885464817668</v>
      </c>
      <c r="K12" s="97">
        <f t="shared" si="2"/>
        <v>0.4108885464817668</v>
      </c>
      <c r="L12" s="97">
        <f t="shared" si="3"/>
        <v>0.04108885464817669</v>
      </c>
      <c r="M12" s="93"/>
      <c r="N12" s="97">
        <v>0.4054117009291963</v>
      </c>
      <c r="O12" s="97">
        <f t="shared" si="4"/>
        <v>0.4054117009291963</v>
      </c>
      <c r="P12" s="97">
        <f t="shared" si="5"/>
        <v>0.04054117009291963</v>
      </c>
      <c r="Q12" s="98"/>
      <c r="R12" s="93"/>
      <c r="S12" s="98"/>
      <c r="T12" s="93"/>
      <c r="U12" s="98"/>
      <c r="V12" s="93"/>
      <c r="W12" s="98"/>
      <c r="X12" s="93"/>
      <c r="Y12" s="98"/>
      <c r="Z12" s="93"/>
      <c r="AA12" s="98"/>
      <c r="AB12" s="93"/>
      <c r="AC12" s="98"/>
    </row>
    <row r="13" spans="1:29" s="92" customFormat="1" ht="12.75">
      <c r="A13" s="92" t="s">
        <v>297</v>
      </c>
      <c r="B13" s="92">
        <v>9</v>
      </c>
      <c r="C13" s="92" t="s">
        <v>352</v>
      </c>
      <c r="D13" s="96">
        <v>0.1</v>
      </c>
      <c r="E13" s="93"/>
      <c r="F13" s="97">
        <v>0.15493485529805143</v>
      </c>
      <c r="G13" s="97">
        <f t="shared" si="0"/>
        <v>0.15493485529805143</v>
      </c>
      <c r="H13" s="97">
        <f t="shared" si="1"/>
        <v>0.015493485529805144</v>
      </c>
      <c r="I13" s="93"/>
      <c r="J13" s="97">
        <v>0.2753523939964618</v>
      </c>
      <c r="K13" s="97">
        <f t="shared" si="2"/>
        <v>0.2753523939964618</v>
      </c>
      <c r="L13" s="97">
        <f t="shared" si="3"/>
        <v>0.02753523939964618</v>
      </c>
      <c r="M13" s="93"/>
      <c r="N13" s="97">
        <v>0.31202619029468315</v>
      </c>
      <c r="O13" s="97">
        <f t="shared" si="4"/>
        <v>0.31202619029468315</v>
      </c>
      <c r="P13" s="97">
        <f t="shared" si="5"/>
        <v>0.031202619029468318</v>
      </c>
      <c r="Q13" s="98"/>
      <c r="R13" s="93"/>
      <c r="S13" s="98"/>
      <c r="T13" s="93"/>
      <c r="U13" s="98"/>
      <c r="V13" s="93"/>
      <c r="W13" s="98"/>
      <c r="X13" s="93"/>
      <c r="Y13" s="98"/>
      <c r="Z13" s="93"/>
      <c r="AA13" s="98"/>
      <c r="AB13" s="93"/>
      <c r="AC13" s="98"/>
    </row>
    <row r="14" spans="1:29" s="92" customFormat="1" ht="12.75">
      <c r="A14" s="92" t="s">
        <v>297</v>
      </c>
      <c r="B14" s="92">
        <v>10</v>
      </c>
      <c r="C14" s="92" t="s">
        <v>353</v>
      </c>
      <c r="D14" s="96">
        <v>0</v>
      </c>
      <c r="E14" s="93"/>
      <c r="F14" s="97">
        <v>1.9745186210077252</v>
      </c>
      <c r="G14" s="97">
        <f t="shared" si="0"/>
        <v>1.9745186210077252</v>
      </c>
      <c r="H14" s="97">
        <f t="shared" si="1"/>
        <v>0</v>
      </c>
      <c r="I14" s="93"/>
      <c r="J14" s="97">
        <v>3.1351652114364</v>
      </c>
      <c r="K14" s="97">
        <f t="shared" si="2"/>
        <v>3.1351652114364</v>
      </c>
      <c r="L14" s="97">
        <f t="shared" si="3"/>
        <v>0</v>
      </c>
      <c r="M14" s="93"/>
      <c r="N14" s="97">
        <v>3.519003210259277</v>
      </c>
      <c r="O14" s="97">
        <f t="shared" si="4"/>
        <v>3.519003210259277</v>
      </c>
      <c r="P14" s="97">
        <f t="shared" si="5"/>
        <v>0</v>
      </c>
      <c r="Q14" s="98"/>
      <c r="R14" s="93"/>
      <c r="S14" s="98"/>
      <c r="T14" s="93"/>
      <c r="U14" s="98"/>
      <c r="V14" s="93"/>
      <c r="W14" s="98"/>
      <c r="X14" s="93"/>
      <c r="Y14" s="98"/>
      <c r="Z14" s="93"/>
      <c r="AA14" s="98"/>
      <c r="AB14" s="93"/>
      <c r="AC14" s="98"/>
    </row>
    <row r="15" spans="1:29" s="92" customFormat="1" ht="12.75">
      <c r="A15" s="92" t="s">
        <v>297</v>
      </c>
      <c r="B15" s="92">
        <v>11</v>
      </c>
      <c r="C15" s="92" t="s">
        <v>354</v>
      </c>
      <c r="D15" s="96">
        <v>0</v>
      </c>
      <c r="E15" s="93"/>
      <c r="F15" s="97">
        <v>2.5438141358238213</v>
      </c>
      <c r="G15" s="97">
        <f t="shared" si="0"/>
        <v>2.5438141358238213</v>
      </c>
      <c r="H15" s="97">
        <f t="shared" si="1"/>
        <v>0</v>
      </c>
      <c r="I15" s="93"/>
      <c r="J15" s="97">
        <v>4.151686355076186</v>
      </c>
      <c r="K15" s="97">
        <f t="shared" si="2"/>
        <v>4.151686355076186</v>
      </c>
      <c r="L15" s="97">
        <f t="shared" si="3"/>
        <v>0</v>
      </c>
      <c r="M15" s="93"/>
      <c r="N15" s="97">
        <v>4.602571595558153</v>
      </c>
      <c r="O15" s="97">
        <f t="shared" si="4"/>
        <v>4.602571595558153</v>
      </c>
      <c r="P15" s="97">
        <f t="shared" si="5"/>
        <v>0</v>
      </c>
      <c r="Q15" s="98"/>
      <c r="R15" s="93"/>
      <c r="S15" s="98"/>
      <c r="T15" s="93"/>
      <c r="U15" s="98"/>
      <c r="V15" s="93"/>
      <c r="W15" s="98"/>
      <c r="X15" s="93"/>
      <c r="Y15" s="98"/>
      <c r="Z15" s="93"/>
      <c r="AA15" s="98"/>
      <c r="AB15" s="93"/>
      <c r="AC15" s="98"/>
    </row>
    <row r="16" spans="1:29" s="92" customFormat="1" ht="12.75">
      <c r="A16" s="92" t="s">
        <v>297</v>
      </c>
      <c r="B16" s="92">
        <v>12</v>
      </c>
      <c r="C16" s="92" t="s">
        <v>355</v>
      </c>
      <c r="D16" s="96">
        <v>0.01</v>
      </c>
      <c r="E16" s="93"/>
      <c r="F16" s="97">
        <v>0.9944655828433069</v>
      </c>
      <c r="G16" s="97">
        <f t="shared" si="0"/>
        <v>0.9944655828433069</v>
      </c>
      <c r="H16" s="97">
        <f t="shared" si="1"/>
        <v>0.009944655828433069</v>
      </c>
      <c r="I16" s="93"/>
      <c r="J16" s="97">
        <v>2.354048964218456</v>
      </c>
      <c r="K16" s="97">
        <f t="shared" si="2"/>
        <v>2.354048964218456</v>
      </c>
      <c r="L16" s="97">
        <f t="shared" si="3"/>
        <v>0.02354048964218456</v>
      </c>
      <c r="M16" s="93"/>
      <c r="N16" s="97">
        <v>2.327226217399774</v>
      </c>
      <c r="O16" s="97">
        <f t="shared" si="4"/>
        <v>2.327226217399774</v>
      </c>
      <c r="P16" s="97">
        <f t="shared" si="5"/>
        <v>0.02327226217399774</v>
      </c>
      <c r="Q16" s="98"/>
      <c r="R16" s="93"/>
      <c r="S16" s="98"/>
      <c r="T16" s="93"/>
      <c r="U16" s="98"/>
      <c r="V16" s="93"/>
      <c r="W16" s="98"/>
      <c r="X16" s="93"/>
      <c r="Y16" s="98"/>
      <c r="Z16" s="93"/>
      <c r="AA16" s="98"/>
      <c r="AB16" s="93"/>
      <c r="AC16" s="98"/>
    </row>
    <row r="17" spans="1:29" s="92" customFormat="1" ht="12.75">
      <c r="A17" s="92" t="s">
        <v>297</v>
      </c>
      <c r="B17" s="92">
        <v>13</v>
      </c>
      <c r="C17" s="92" t="s">
        <v>356</v>
      </c>
      <c r="D17" s="96">
        <v>0</v>
      </c>
      <c r="E17" s="93"/>
      <c r="F17" s="97">
        <v>1.1602098466505244</v>
      </c>
      <c r="G17" s="97">
        <f t="shared" si="0"/>
        <v>1.1602098466505244</v>
      </c>
      <c r="H17" s="97">
        <f t="shared" si="1"/>
        <v>0</v>
      </c>
      <c r="I17" s="93"/>
      <c r="J17" s="97">
        <v>2.653655196028077</v>
      </c>
      <c r="K17" s="97">
        <f t="shared" si="2"/>
        <v>2.653655196028077</v>
      </c>
      <c r="L17" s="97">
        <f t="shared" si="3"/>
        <v>0</v>
      </c>
      <c r="M17" s="93"/>
      <c r="N17" s="97">
        <v>2.4754571866609</v>
      </c>
      <c r="O17" s="97">
        <f t="shared" si="4"/>
        <v>2.4754571866609</v>
      </c>
      <c r="P17" s="97">
        <f t="shared" si="5"/>
        <v>0</v>
      </c>
      <c r="Q17" s="98"/>
      <c r="R17" s="93"/>
      <c r="S17" s="98"/>
      <c r="T17" s="93"/>
      <c r="U17" s="98"/>
      <c r="V17" s="93"/>
      <c r="W17" s="98"/>
      <c r="X17" s="93"/>
      <c r="Y17" s="98"/>
      <c r="Z17" s="93"/>
      <c r="AA17" s="98"/>
      <c r="AB17" s="93"/>
      <c r="AC17" s="98"/>
    </row>
    <row r="18" spans="1:29" s="92" customFormat="1" ht="12.75">
      <c r="A18" s="92" t="s">
        <v>297</v>
      </c>
      <c r="B18" s="92">
        <v>14</v>
      </c>
      <c r="C18" s="92" t="s">
        <v>357</v>
      </c>
      <c r="D18" s="96">
        <v>0</v>
      </c>
      <c r="E18" s="93"/>
      <c r="F18" s="97">
        <v>2.1546754294938313</v>
      </c>
      <c r="G18" s="97">
        <f t="shared" si="0"/>
        <v>2.1546754294938313</v>
      </c>
      <c r="H18" s="97">
        <f t="shared" si="1"/>
        <v>0</v>
      </c>
      <c r="I18" s="93"/>
      <c r="J18" s="97">
        <v>5.007704160246533</v>
      </c>
      <c r="K18" s="97">
        <f t="shared" si="2"/>
        <v>5.007704160246533</v>
      </c>
      <c r="L18" s="97">
        <f t="shared" si="3"/>
        <v>0</v>
      </c>
      <c r="M18" s="93"/>
      <c r="N18" s="97">
        <v>4.802683404060681</v>
      </c>
      <c r="O18" s="97">
        <f t="shared" si="4"/>
        <v>4.802683404060681</v>
      </c>
      <c r="P18" s="97">
        <f t="shared" si="5"/>
        <v>0</v>
      </c>
      <c r="Q18" s="98"/>
      <c r="R18" s="93"/>
      <c r="S18" s="98"/>
      <c r="T18" s="93"/>
      <c r="U18" s="98"/>
      <c r="V18" s="93"/>
      <c r="W18" s="98"/>
      <c r="X18" s="93"/>
      <c r="Y18" s="98"/>
      <c r="Z18" s="93"/>
      <c r="AA18" s="98"/>
      <c r="AB18" s="93"/>
      <c r="AC18" s="98"/>
    </row>
    <row r="19" spans="1:29" s="92" customFormat="1" ht="12.75">
      <c r="A19" s="92" t="s">
        <v>297</v>
      </c>
      <c r="B19" s="92">
        <v>15</v>
      </c>
      <c r="C19" s="92" t="s">
        <v>358</v>
      </c>
      <c r="D19" s="96">
        <v>0.001</v>
      </c>
      <c r="E19" s="93"/>
      <c r="F19" s="97">
        <v>1.1602098466505246</v>
      </c>
      <c r="G19" s="97">
        <f t="shared" si="0"/>
        <v>1.1602098466505246</v>
      </c>
      <c r="H19" s="97">
        <f t="shared" si="1"/>
        <v>0.0011602098466505246</v>
      </c>
      <c r="I19" s="93"/>
      <c r="J19" s="97">
        <v>3.602408263425213</v>
      </c>
      <c r="K19" s="97">
        <f t="shared" si="2"/>
        <v>3.602408263425213</v>
      </c>
      <c r="L19" s="97">
        <f t="shared" si="3"/>
        <v>0.0036024082634252127</v>
      </c>
      <c r="M19" s="93"/>
      <c r="N19" s="97">
        <v>3.513073971488831</v>
      </c>
      <c r="O19" s="97">
        <f t="shared" si="4"/>
        <v>3.513073971488831</v>
      </c>
      <c r="P19" s="97">
        <f t="shared" si="5"/>
        <v>0.003513073971488831</v>
      </c>
      <c r="Q19" s="98"/>
      <c r="R19" s="93"/>
      <c r="S19" s="98"/>
      <c r="T19" s="93"/>
      <c r="U19" s="98"/>
      <c r="V19" s="93"/>
      <c r="W19" s="98"/>
      <c r="X19" s="93"/>
      <c r="Y19" s="98"/>
      <c r="Z19" s="93"/>
      <c r="AA19" s="98"/>
      <c r="AB19" s="93"/>
      <c r="AC19" s="98"/>
    </row>
    <row r="20" spans="1:29" s="92" customFormat="1" ht="12.75">
      <c r="A20" s="92" t="s">
        <v>297</v>
      </c>
      <c r="B20" s="92">
        <v>16</v>
      </c>
      <c r="C20" s="92" t="s">
        <v>359</v>
      </c>
      <c r="D20" s="96">
        <v>0.1</v>
      </c>
      <c r="E20" s="93"/>
      <c r="F20" s="97">
        <v>0.33725354548599</v>
      </c>
      <c r="G20" s="97">
        <f t="shared" si="0"/>
        <v>0.33725354548599</v>
      </c>
      <c r="H20" s="97">
        <f t="shared" si="1"/>
        <v>0.033725354548599006</v>
      </c>
      <c r="I20" s="93"/>
      <c r="J20" s="97">
        <v>0.3752211379330024</v>
      </c>
      <c r="K20" s="97">
        <f t="shared" si="2"/>
        <v>0.3752211379330024</v>
      </c>
      <c r="L20" s="97">
        <f t="shared" si="3"/>
        <v>0.03752211379330024</v>
      </c>
      <c r="M20" s="93"/>
      <c r="N20" s="97">
        <v>0.38614167492525</v>
      </c>
      <c r="O20" s="97">
        <f t="shared" si="4"/>
        <v>0.38614167492525</v>
      </c>
      <c r="P20" s="97">
        <f t="shared" si="5"/>
        <v>0.038614167492525</v>
      </c>
      <c r="Q20" s="98"/>
      <c r="R20" s="93"/>
      <c r="S20" s="98"/>
      <c r="T20" s="93"/>
      <c r="U20" s="98"/>
      <c r="V20" s="93"/>
      <c r="W20" s="98"/>
      <c r="X20" s="93"/>
      <c r="Y20" s="98"/>
      <c r="Z20" s="93"/>
      <c r="AA20" s="98"/>
      <c r="AB20" s="93"/>
      <c r="AC20" s="98"/>
    </row>
    <row r="21" spans="1:29" s="92" customFormat="1" ht="12.75">
      <c r="A21" s="92" t="s">
        <v>297</v>
      </c>
      <c r="B21" s="92">
        <v>17</v>
      </c>
      <c r="C21" s="92" t="s">
        <v>360</v>
      </c>
      <c r="D21" s="96">
        <v>0</v>
      </c>
      <c r="E21" s="93"/>
      <c r="F21" s="97">
        <v>11.264844921019256</v>
      </c>
      <c r="G21" s="97">
        <f t="shared" si="0"/>
        <v>11.264844921019256</v>
      </c>
      <c r="H21" s="97">
        <f t="shared" si="1"/>
        <v>0</v>
      </c>
      <c r="I21" s="93"/>
      <c r="J21" s="97">
        <v>17.173143868059125</v>
      </c>
      <c r="K21" s="97">
        <f t="shared" si="2"/>
        <v>17.173143868059125</v>
      </c>
      <c r="L21" s="97">
        <f t="shared" si="3"/>
        <v>0</v>
      </c>
      <c r="M21" s="93"/>
      <c r="N21" s="97">
        <v>16.438073336213247</v>
      </c>
      <c r="O21" s="97">
        <f t="shared" si="4"/>
        <v>16.438073336213247</v>
      </c>
      <c r="P21" s="97">
        <f t="shared" si="5"/>
        <v>0</v>
      </c>
      <c r="Q21" s="98"/>
      <c r="R21" s="93"/>
      <c r="S21" s="98"/>
      <c r="T21" s="93"/>
      <c r="U21" s="98"/>
      <c r="V21" s="93"/>
      <c r="W21" s="98"/>
      <c r="X21" s="93"/>
      <c r="Y21" s="98"/>
      <c r="Z21" s="93"/>
      <c r="AA21" s="98"/>
      <c r="AB21" s="93"/>
      <c r="AC21" s="98"/>
    </row>
    <row r="22" spans="1:29" s="92" customFormat="1" ht="12.75">
      <c r="A22" s="92" t="s">
        <v>297</v>
      </c>
      <c r="B22" s="92">
        <v>18</v>
      </c>
      <c r="C22" s="92" t="s">
        <v>361</v>
      </c>
      <c r="D22" s="96">
        <v>0</v>
      </c>
      <c r="E22" s="93"/>
      <c r="F22" s="97">
        <v>11.602098466505247</v>
      </c>
      <c r="G22" s="97">
        <f t="shared" si="0"/>
        <v>11.602098466505247</v>
      </c>
      <c r="H22" s="97">
        <f t="shared" si="1"/>
        <v>0</v>
      </c>
      <c r="I22" s="93"/>
      <c r="J22" s="97">
        <v>17.548365005992128</v>
      </c>
      <c r="K22" s="97">
        <f t="shared" si="2"/>
        <v>17.548365005992128</v>
      </c>
      <c r="L22" s="97">
        <f t="shared" si="3"/>
        <v>0</v>
      </c>
      <c r="M22" s="93"/>
      <c r="N22" s="97">
        <v>16.824215011138495</v>
      </c>
      <c r="O22" s="97">
        <f t="shared" si="4"/>
        <v>16.824215011138495</v>
      </c>
      <c r="P22" s="97">
        <f t="shared" si="5"/>
        <v>0</v>
      </c>
      <c r="Q22" s="98"/>
      <c r="R22" s="93"/>
      <c r="S22" s="98"/>
      <c r="T22" s="93"/>
      <c r="U22" s="98"/>
      <c r="V22" s="93"/>
      <c r="W22" s="98"/>
      <c r="X22" s="93"/>
      <c r="Y22" s="98"/>
      <c r="Z22" s="93"/>
      <c r="AA22" s="98"/>
      <c r="AB22" s="93"/>
      <c r="AC22" s="98"/>
    </row>
    <row r="23" spans="1:29" s="92" customFormat="1" ht="12.75">
      <c r="A23" s="92" t="s">
        <v>297</v>
      </c>
      <c r="B23" s="92">
        <v>19</v>
      </c>
      <c r="C23" s="92" t="s">
        <v>362</v>
      </c>
      <c r="D23" s="96">
        <v>0.05</v>
      </c>
      <c r="E23" s="93"/>
      <c r="F23" s="97">
        <v>0.9368154041277529</v>
      </c>
      <c r="G23" s="97">
        <f t="shared" si="0"/>
        <v>0.9368154041277529</v>
      </c>
      <c r="H23" s="97">
        <f t="shared" si="1"/>
        <v>0.04684077020638765</v>
      </c>
      <c r="I23" s="93"/>
      <c r="J23" s="97">
        <v>1.398162415111568</v>
      </c>
      <c r="K23" s="97">
        <f t="shared" si="2"/>
        <v>1.398162415111568</v>
      </c>
      <c r="L23" s="97">
        <f t="shared" si="3"/>
        <v>0.0699081207555784</v>
      </c>
      <c r="M23" s="93"/>
      <c r="N23" s="97">
        <v>1.5341905318527174</v>
      </c>
      <c r="O23" s="97">
        <f t="shared" si="4"/>
        <v>1.5341905318527174</v>
      </c>
      <c r="P23" s="97">
        <f t="shared" si="5"/>
        <v>0.07670952659263587</v>
      </c>
      <c r="Q23" s="98"/>
      <c r="R23" s="93"/>
      <c r="S23" s="98"/>
      <c r="T23" s="93"/>
      <c r="U23" s="98"/>
      <c r="V23" s="93"/>
      <c r="W23" s="98"/>
      <c r="X23" s="93"/>
      <c r="Y23" s="98"/>
      <c r="Z23" s="93"/>
      <c r="AA23" s="98"/>
      <c r="AB23" s="93"/>
      <c r="AC23" s="98"/>
    </row>
    <row r="24" spans="1:29" s="92" customFormat="1" ht="12.75">
      <c r="A24" s="92" t="s">
        <v>297</v>
      </c>
      <c r="B24" s="92">
        <v>20</v>
      </c>
      <c r="C24" s="92" t="s">
        <v>363</v>
      </c>
      <c r="D24" s="96">
        <v>0.5</v>
      </c>
      <c r="E24" s="93"/>
      <c r="F24" s="97">
        <v>0.9944655828433069</v>
      </c>
      <c r="G24" s="97">
        <f t="shared" si="0"/>
        <v>0.9944655828433069</v>
      </c>
      <c r="H24" s="97">
        <f t="shared" si="1"/>
        <v>0.49723279142165344</v>
      </c>
      <c r="I24" s="93"/>
      <c r="J24" s="97">
        <v>1.6050333846944</v>
      </c>
      <c r="K24" s="97">
        <f t="shared" si="2"/>
        <v>1.6050333846944</v>
      </c>
      <c r="L24" s="97">
        <f t="shared" si="3"/>
        <v>0.8025166923472</v>
      </c>
      <c r="M24" s="93"/>
      <c r="N24" s="97">
        <v>1.5860713710941137</v>
      </c>
      <c r="O24" s="97">
        <f t="shared" si="4"/>
        <v>1.5860713710941137</v>
      </c>
      <c r="P24" s="97">
        <f t="shared" si="5"/>
        <v>0.7930356855470568</v>
      </c>
      <c r="Q24" s="98"/>
      <c r="R24" s="93"/>
      <c r="S24" s="98"/>
      <c r="T24" s="93"/>
      <c r="U24" s="98"/>
      <c r="V24" s="93"/>
      <c r="W24" s="98"/>
      <c r="X24" s="93"/>
      <c r="Y24" s="98"/>
      <c r="Z24" s="93"/>
      <c r="AA24" s="98"/>
      <c r="AB24" s="93"/>
      <c r="AC24" s="98"/>
    </row>
    <row r="25" spans="1:29" s="92" customFormat="1" ht="12.75">
      <c r="A25" s="92" t="s">
        <v>297</v>
      </c>
      <c r="B25" s="92">
        <v>21</v>
      </c>
      <c r="C25" s="92" t="s">
        <v>364</v>
      </c>
      <c r="D25" s="96">
        <v>0</v>
      </c>
      <c r="E25" s="93"/>
      <c r="F25" s="97">
        <v>17.381528882739534</v>
      </c>
      <c r="G25" s="97">
        <f t="shared" si="0"/>
        <v>17.381528882739534</v>
      </c>
      <c r="H25" s="97">
        <f t="shared" si="1"/>
        <v>0</v>
      </c>
      <c r="I25" s="93"/>
      <c r="J25" s="97">
        <v>26.529418478571</v>
      </c>
      <c r="K25" s="97">
        <f t="shared" si="2"/>
        <v>26.529418478571</v>
      </c>
      <c r="L25" s="97">
        <f t="shared" si="3"/>
        <v>0</v>
      </c>
      <c r="M25" s="93"/>
      <c r="N25" s="97">
        <v>31.491669419527522</v>
      </c>
      <c r="O25" s="97">
        <f t="shared" si="4"/>
        <v>31.491669419527522</v>
      </c>
      <c r="P25" s="97">
        <f t="shared" si="5"/>
        <v>0</v>
      </c>
      <c r="Q25" s="98"/>
      <c r="R25" s="93"/>
      <c r="S25" s="98"/>
      <c r="T25" s="93"/>
      <c r="U25" s="98"/>
      <c r="V25" s="93"/>
      <c r="W25" s="98"/>
      <c r="X25" s="93"/>
      <c r="Y25" s="98"/>
      <c r="Z25" s="93"/>
      <c r="AA25" s="98"/>
      <c r="AB25" s="93"/>
      <c r="AC25" s="98"/>
    </row>
    <row r="26" spans="1:29" s="92" customFormat="1" ht="12.75">
      <c r="A26" s="92" t="s">
        <v>297</v>
      </c>
      <c r="B26" s="92">
        <v>22</v>
      </c>
      <c r="C26" s="92" t="s">
        <v>365</v>
      </c>
      <c r="D26" s="96">
        <v>0</v>
      </c>
      <c r="E26" s="93"/>
      <c r="F26" s="97">
        <v>19.312809869710595</v>
      </c>
      <c r="G26" s="97">
        <f t="shared" si="0"/>
        <v>19.312809869710595</v>
      </c>
      <c r="H26" s="97">
        <f t="shared" si="1"/>
        <v>0</v>
      </c>
      <c r="I26" s="93"/>
      <c r="J26" s="97">
        <v>29.532614278377</v>
      </c>
      <c r="K26" s="97">
        <f t="shared" si="2"/>
        <v>29.532614278377</v>
      </c>
      <c r="L26" s="97">
        <f t="shared" si="3"/>
        <v>0</v>
      </c>
      <c r="M26" s="93"/>
      <c r="N26" s="97">
        <v>34.611931322474355</v>
      </c>
      <c r="O26" s="97">
        <f t="shared" si="4"/>
        <v>34.611931322474355</v>
      </c>
      <c r="P26" s="97">
        <f t="shared" si="5"/>
        <v>0</v>
      </c>
      <c r="Q26" s="98"/>
      <c r="R26" s="93"/>
      <c r="S26" s="98"/>
      <c r="T26" s="93"/>
      <c r="U26" s="98"/>
      <c r="V26" s="93"/>
      <c r="W26" s="98"/>
      <c r="X26" s="93"/>
      <c r="Y26" s="98"/>
      <c r="Z26" s="93"/>
      <c r="AA26" s="98"/>
      <c r="AB26" s="93"/>
      <c r="AC26" s="98"/>
    </row>
    <row r="27" spans="1:29" s="92" customFormat="1" ht="12.75">
      <c r="A27" s="92" t="s">
        <v>297</v>
      </c>
      <c r="B27" s="92">
        <v>23</v>
      </c>
      <c r="C27" s="92" t="s">
        <v>366</v>
      </c>
      <c r="D27" s="96">
        <v>0.1</v>
      </c>
      <c r="E27" s="93"/>
      <c r="F27" s="97">
        <v>2.3780698720166</v>
      </c>
      <c r="G27" s="97">
        <f t="shared" si="0"/>
        <v>2.3780698720166</v>
      </c>
      <c r="H27" s="97">
        <f t="shared" si="1"/>
        <v>0.23780698720166</v>
      </c>
      <c r="I27" s="93"/>
      <c r="J27" s="97">
        <v>4.40849169662729</v>
      </c>
      <c r="K27" s="97">
        <f t="shared" si="2"/>
        <v>4.40849169662729</v>
      </c>
      <c r="L27" s="97">
        <f t="shared" si="3"/>
        <v>0.440849169662729</v>
      </c>
      <c r="M27" s="93"/>
      <c r="N27" s="97">
        <v>4.1059978485333595</v>
      </c>
      <c r="O27" s="97">
        <f t="shared" si="4"/>
        <v>4.1059978485333595</v>
      </c>
      <c r="P27" s="97">
        <f t="shared" si="5"/>
        <v>0.410599784853336</v>
      </c>
      <c r="Q27" s="98"/>
      <c r="R27" s="93"/>
      <c r="S27" s="98"/>
      <c r="T27" s="93"/>
      <c r="U27" s="98"/>
      <c r="V27" s="93"/>
      <c r="W27" s="98"/>
      <c r="X27" s="93"/>
      <c r="Y27" s="98"/>
      <c r="Z27" s="93"/>
      <c r="AA27" s="98"/>
      <c r="AB27" s="93"/>
      <c r="AC27" s="98"/>
    </row>
    <row r="28" spans="1:29" s="92" customFormat="1" ht="12.75">
      <c r="A28" s="92" t="s">
        <v>297</v>
      </c>
      <c r="B28" s="92">
        <v>24</v>
      </c>
      <c r="C28" s="92" t="s">
        <v>367</v>
      </c>
      <c r="D28" s="96">
        <v>0.1</v>
      </c>
      <c r="E28" s="93"/>
      <c r="F28" s="97">
        <v>2.2627695145855</v>
      </c>
      <c r="G28" s="97">
        <f t="shared" si="0"/>
        <v>2.2627695145855</v>
      </c>
      <c r="H28" s="97">
        <f t="shared" si="1"/>
        <v>0.22627695145855</v>
      </c>
      <c r="I28" s="93"/>
      <c r="J28" s="97">
        <v>3.909147976944587</v>
      </c>
      <c r="K28" s="97">
        <f t="shared" si="2"/>
        <v>3.909147976944587</v>
      </c>
      <c r="L28" s="97">
        <f t="shared" si="3"/>
        <v>0.3909147976944587</v>
      </c>
      <c r="M28" s="93"/>
      <c r="N28" s="97">
        <v>4.402459787055625</v>
      </c>
      <c r="O28" s="97">
        <f t="shared" si="4"/>
        <v>4.402459787055625</v>
      </c>
      <c r="P28" s="97">
        <f t="shared" si="5"/>
        <v>0.4402459787055625</v>
      </c>
      <c r="Q28" s="98"/>
      <c r="R28" s="93"/>
      <c r="S28" s="98"/>
      <c r="T28" s="93"/>
      <c r="U28" s="98"/>
      <c r="V28" s="93"/>
      <c r="W28" s="98"/>
      <c r="X28" s="93"/>
      <c r="Y28" s="98"/>
      <c r="Z28" s="93"/>
      <c r="AA28" s="98"/>
      <c r="AB28" s="93"/>
      <c r="AC28" s="98"/>
    </row>
    <row r="29" spans="1:29" s="92" customFormat="1" ht="12.75">
      <c r="A29" s="92" t="s">
        <v>297</v>
      </c>
      <c r="B29" s="92">
        <v>25</v>
      </c>
      <c r="C29" s="92" t="s">
        <v>368</v>
      </c>
      <c r="D29" s="96">
        <v>0.1</v>
      </c>
      <c r="E29" s="93"/>
      <c r="F29" s="97">
        <v>0.18231869018794</v>
      </c>
      <c r="G29" s="97">
        <f t="shared" si="0"/>
        <v>0.18231869018794</v>
      </c>
      <c r="H29" s="97">
        <f t="shared" si="1"/>
        <v>0.018231869018794002</v>
      </c>
      <c r="I29" s="93"/>
      <c r="J29" s="97">
        <v>0.6505735319294641</v>
      </c>
      <c r="K29" s="97">
        <f t="shared" si="2"/>
        <v>0.6505735319294641</v>
      </c>
      <c r="L29" s="97">
        <f t="shared" si="3"/>
        <v>0.06505735319294641</v>
      </c>
      <c r="M29" s="93"/>
      <c r="N29" s="97">
        <v>0.27719191251831715</v>
      </c>
      <c r="O29" s="97">
        <f t="shared" si="4"/>
        <v>0.27719191251831715</v>
      </c>
      <c r="P29" s="97">
        <f t="shared" si="5"/>
        <v>0.027719191251831716</v>
      </c>
      <c r="Q29" s="98"/>
      <c r="R29" s="93"/>
      <c r="S29" s="98"/>
      <c r="T29" s="93"/>
      <c r="U29" s="98"/>
      <c r="V29" s="93"/>
      <c r="W29" s="98"/>
      <c r="X29" s="93"/>
      <c r="Y29" s="98"/>
      <c r="Z29" s="93"/>
      <c r="AA29" s="98"/>
      <c r="AB29" s="93"/>
      <c r="AC29" s="98"/>
    </row>
    <row r="30" spans="1:29" s="92" customFormat="1" ht="12.75">
      <c r="A30" s="92" t="s">
        <v>297</v>
      </c>
      <c r="B30" s="92">
        <v>26</v>
      </c>
      <c r="C30" s="92" t="s">
        <v>369</v>
      </c>
      <c r="D30" s="96">
        <v>0.1</v>
      </c>
      <c r="E30" s="93"/>
      <c r="F30" s="97">
        <v>1.4340481955494</v>
      </c>
      <c r="G30" s="97">
        <f t="shared" si="0"/>
        <v>1.4340481955494</v>
      </c>
      <c r="H30" s="97">
        <f t="shared" si="1"/>
        <v>0.14340481955494</v>
      </c>
      <c r="I30" s="93"/>
      <c r="J30" s="97">
        <v>2.9532614278377</v>
      </c>
      <c r="K30" s="97">
        <f t="shared" si="2"/>
        <v>2.9532614278377</v>
      </c>
      <c r="L30" s="97">
        <f t="shared" si="3"/>
        <v>0.29532614278377</v>
      </c>
      <c r="M30" s="93"/>
      <c r="N30" s="97">
        <v>2.5718073166806428</v>
      </c>
      <c r="O30" s="97">
        <f t="shared" si="4"/>
        <v>2.5718073166806428</v>
      </c>
      <c r="P30" s="97">
        <f t="shared" si="5"/>
        <v>0.25718073166806427</v>
      </c>
      <c r="Q30" s="98"/>
      <c r="R30" s="93"/>
      <c r="S30" s="98"/>
      <c r="T30" s="93"/>
      <c r="U30" s="98"/>
      <c r="V30" s="93"/>
      <c r="W30" s="98"/>
      <c r="X30" s="93"/>
      <c r="Y30" s="98"/>
      <c r="Z30" s="93"/>
      <c r="AA30" s="98"/>
      <c r="AB30" s="93"/>
      <c r="AC30" s="98"/>
    </row>
    <row r="31" spans="1:29" s="92" customFormat="1" ht="12.75">
      <c r="A31" s="92" t="s">
        <v>297</v>
      </c>
      <c r="B31" s="92">
        <v>27</v>
      </c>
      <c r="C31" s="92" t="s">
        <v>370</v>
      </c>
      <c r="D31" s="96">
        <v>0</v>
      </c>
      <c r="E31" s="93"/>
      <c r="F31" s="97">
        <v>16.3704888735155</v>
      </c>
      <c r="G31" s="97">
        <f t="shared" si="0"/>
        <v>16.3704888735155</v>
      </c>
      <c r="H31" s="97">
        <f t="shared" si="1"/>
        <v>0</v>
      </c>
      <c r="I31" s="93"/>
      <c r="J31" s="97">
        <v>28.0973577583747</v>
      </c>
      <c r="K31" s="97">
        <f t="shared" si="2"/>
        <v>28.0973577583747</v>
      </c>
      <c r="L31" s="97">
        <f t="shared" si="3"/>
        <v>0</v>
      </c>
      <c r="M31" s="93"/>
      <c r="N31" s="97">
        <v>28.220211927934333</v>
      </c>
      <c r="O31" s="97">
        <f t="shared" si="4"/>
        <v>28.220211927934333</v>
      </c>
      <c r="P31" s="97">
        <f t="shared" si="5"/>
        <v>0</v>
      </c>
      <c r="Q31" s="98"/>
      <c r="R31" s="93"/>
      <c r="S31" s="98"/>
      <c r="T31" s="93"/>
      <c r="U31" s="98"/>
      <c r="V31" s="93"/>
      <c r="W31" s="98"/>
      <c r="X31" s="93"/>
      <c r="Y31" s="98"/>
      <c r="Z31" s="93"/>
      <c r="AA31" s="98"/>
      <c r="AB31" s="93"/>
      <c r="AC31" s="98"/>
    </row>
    <row r="32" spans="1:29" s="92" customFormat="1" ht="12.75">
      <c r="A32" s="92" t="s">
        <v>297</v>
      </c>
      <c r="B32" s="92">
        <v>28</v>
      </c>
      <c r="C32" s="92" t="s">
        <v>371</v>
      </c>
      <c r="D32" s="96">
        <v>0</v>
      </c>
      <c r="E32" s="93"/>
      <c r="F32" s="97">
        <v>22.627695145855</v>
      </c>
      <c r="G32" s="97">
        <f t="shared" si="0"/>
        <v>22.627695145855</v>
      </c>
      <c r="H32" s="97">
        <f t="shared" si="1"/>
        <v>0</v>
      </c>
      <c r="I32" s="93"/>
      <c r="J32" s="97">
        <v>40.01883239171375</v>
      </c>
      <c r="K32" s="97">
        <f t="shared" si="2"/>
        <v>40.01883239171375</v>
      </c>
      <c r="L32" s="97">
        <f t="shared" si="3"/>
        <v>0</v>
      </c>
      <c r="M32" s="93"/>
      <c r="N32" s="97">
        <v>39.57766879272228</v>
      </c>
      <c r="O32" s="97">
        <f t="shared" si="4"/>
        <v>39.57766879272228</v>
      </c>
      <c r="P32" s="97">
        <f t="shared" si="5"/>
        <v>0</v>
      </c>
      <c r="Q32" s="98"/>
      <c r="R32" s="93"/>
      <c r="S32" s="98"/>
      <c r="T32" s="93"/>
      <c r="U32" s="98"/>
      <c r="V32" s="93"/>
      <c r="W32" s="98"/>
      <c r="X32" s="93"/>
      <c r="Y32" s="98"/>
      <c r="Z32" s="93"/>
      <c r="AA32" s="98"/>
      <c r="AB32" s="93"/>
      <c r="AC32" s="98"/>
    </row>
    <row r="33" spans="1:29" s="92" customFormat="1" ht="12.75">
      <c r="A33" s="92" t="s">
        <v>297</v>
      </c>
      <c r="B33" s="92">
        <v>29</v>
      </c>
      <c r="C33" s="92" t="s">
        <v>372</v>
      </c>
      <c r="D33" s="96">
        <v>0.01</v>
      </c>
      <c r="E33" s="93"/>
      <c r="F33" s="97">
        <v>9.368154041277528</v>
      </c>
      <c r="G33" s="97">
        <f t="shared" si="0"/>
        <v>9.368154041277528</v>
      </c>
      <c r="H33" s="97">
        <f t="shared" si="1"/>
        <v>0.09368154041277528</v>
      </c>
      <c r="I33" s="93"/>
      <c r="J33" s="97">
        <v>16.549677566626723</v>
      </c>
      <c r="K33" s="97">
        <f t="shared" si="2"/>
        <v>16.549677566626723</v>
      </c>
      <c r="L33" s="97">
        <f t="shared" si="3"/>
        <v>0.16549677566626725</v>
      </c>
      <c r="M33" s="93"/>
      <c r="N33" s="97">
        <v>16.824215011138495</v>
      </c>
      <c r="O33" s="97">
        <f t="shared" si="4"/>
        <v>16.824215011138495</v>
      </c>
      <c r="P33" s="97">
        <f t="shared" si="5"/>
        <v>0.16824215011138496</v>
      </c>
      <c r="Q33" s="98"/>
      <c r="R33" s="93"/>
      <c r="S33" s="98"/>
      <c r="T33" s="93"/>
      <c r="U33" s="98"/>
      <c r="V33" s="93"/>
      <c r="W33" s="98"/>
      <c r="X33" s="93"/>
      <c r="Y33" s="98"/>
      <c r="Z33" s="93"/>
      <c r="AA33" s="98"/>
      <c r="AB33" s="93"/>
      <c r="AC33" s="98"/>
    </row>
    <row r="34" spans="1:29" s="92" customFormat="1" ht="12.75">
      <c r="A34" s="92" t="s">
        <v>297</v>
      </c>
      <c r="B34" s="92">
        <v>30</v>
      </c>
      <c r="C34" s="92" t="s">
        <v>373</v>
      </c>
      <c r="D34" s="96">
        <v>0.01</v>
      </c>
      <c r="E34" s="93"/>
      <c r="F34" s="97">
        <v>0.50804219993082</v>
      </c>
      <c r="G34" s="97">
        <f t="shared" si="0"/>
        <v>0.50804219993082</v>
      </c>
      <c r="H34" s="97">
        <f t="shared" si="1"/>
        <v>0.0050804219993082</v>
      </c>
      <c r="I34" s="93"/>
      <c r="J34" s="97">
        <v>1.9545739884723</v>
      </c>
      <c r="K34" s="97">
        <f t="shared" si="2"/>
        <v>1.9545739884723</v>
      </c>
      <c r="L34" s="97">
        <f t="shared" si="3"/>
        <v>0.019545739884723</v>
      </c>
      <c r="M34" s="93"/>
      <c r="N34" s="97">
        <v>0.74115484630566</v>
      </c>
      <c r="O34" s="97">
        <f t="shared" si="4"/>
        <v>0.74115484630566</v>
      </c>
      <c r="P34" s="97">
        <f t="shared" si="5"/>
        <v>0.0074115484630566</v>
      </c>
      <c r="Q34" s="98"/>
      <c r="R34" s="93"/>
      <c r="S34" s="98"/>
      <c r="T34" s="93"/>
      <c r="U34" s="98"/>
      <c r="V34" s="93"/>
      <c r="W34" s="98"/>
      <c r="X34" s="93"/>
      <c r="Y34" s="98"/>
      <c r="Z34" s="93"/>
      <c r="AA34" s="98"/>
      <c r="AB34" s="93"/>
      <c r="AC34" s="98"/>
    </row>
    <row r="35" spans="1:29" s="92" customFormat="1" ht="12.75">
      <c r="A35" s="92" t="s">
        <v>297</v>
      </c>
      <c r="B35" s="92">
        <v>31</v>
      </c>
      <c r="C35" s="92" t="s">
        <v>374</v>
      </c>
      <c r="D35" s="96">
        <v>0</v>
      </c>
      <c r="E35" s="93"/>
      <c r="F35" s="97">
        <v>3.959846650524616</v>
      </c>
      <c r="G35" s="97">
        <f t="shared" si="0"/>
        <v>3.959846650524616</v>
      </c>
      <c r="H35" s="97">
        <f t="shared" si="1"/>
        <v>0</v>
      </c>
      <c r="I35" s="93"/>
      <c r="J35" s="97">
        <v>10.029675283912567</v>
      </c>
      <c r="K35" s="97">
        <f t="shared" si="2"/>
        <v>10.029675283912567</v>
      </c>
      <c r="L35" s="97">
        <f t="shared" si="3"/>
        <v>0</v>
      </c>
      <c r="M35" s="93"/>
      <c r="N35" s="97">
        <v>5.188083924139622</v>
      </c>
      <c r="O35" s="97">
        <f t="shared" si="4"/>
        <v>5.188083924139622</v>
      </c>
      <c r="P35" s="97">
        <f t="shared" si="5"/>
        <v>0</v>
      </c>
      <c r="Q35" s="98"/>
      <c r="R35" s="93"/>
      <c r="S35" s="98"/>
      <c r="T35" s="93"/>
      <c r="U35" s="98"/>
      <c r="V35" s="93"/>
      <c r="W35" s="98"/>
      <c r="X35" s="93"/>
      <c r="Y35" s="98"/>
      <c r="Z35" s="93"/>
      <c r="AA35" s="98"/>
      <c r="AB35" s="93"/>
      <c r="AC35" s="98"/>
    </row>
    <row r="36" spans="1:29" s="92" customFormat="1" ht="12.75">
      <c r="A36" s="92" t="s">
        <v>297</v>
      </c>
      <c r="B36" s="92">
        <v>32</v>
      </c>
      <c r="C36" s="92" t="s">
        <v>375</v>
      </c>
      <c r="D36" s="96">
        <v>0</v>
      </c>
      <c r="E36" s="93"/>
      <c r="F36" s="97">
        <v>13.836042891733</v>
      </c>
      <c r="G36" s="97">
        <f t="shared" si="0"/>
        <v>13.836042891733</v>
      </c>
      <c r="H36" s="97">
        <f t="shared" si="1"/>
        <v>0</v>
      </c>
      <c r="I36" s="93"/>
      <c r="J36" s="97">
        <v>28.533926839011585</v>
      </c>
      <c r="K36" s="97">
        <f t="shared" si="2"/>
        <v>28.533926839011585</v>
      </c>
      <c r="L36" s="97">
        <f t="shared" si="3"/>
        <v>0</v>
      </c>
      <c r="M36" s="93"/>
      <c r="N36" s="97">
        <v>22.75345378158378</v>
      </c>
      <c r="O36" s="97">
        <f t="shared" si="4"/>
        <v>22.75345378158378</v>
      </c>
      <c r="P36" s="97">
        <f t="shared" si="5"/>
        <v>0</v>
      </c>
      <c r="Q36" s="98"/>
      <c r="R36" s="93"/>
      <c r="S36" s="98"/>
      <c r="T36" s="93"/>
      <c r="U36" s="98"/>
      <c r="V36" s="93"/>
      <c r="W36" s="98"/>
      <c r="X36" s="93"/>
      <c r="Y36" s="98"/>
      <c r="Z36" s="93"/>
      <c r="AA36" s="98"/>
      <c r="AB36" s="93"/>
      <c r="AC36" s="98"/>
    </row>
    <row r="37" spans="1:29" s="92" customFormat="1" ht="12.75">
      <c r="A37" s="92" t="s">
        <v>297</v>
      </c>
      <c r="B37" s="92">
        <v>33</v>
      </c>
      <c r="C37" s="92" t="s">
        <v>376</v>
      </c>
      <c r="D37" s="96">
        <v>0.001</v>
      </c>
      <c r="E37" s="93"/>
      <c r="F37" s="97">
        <v>0.9944655828433069</v>
      </c>
      <c r="G37" s="97">
        <f t="shared" si="0"/>
        <v>0.9944655828433069</v>
      </c>
      <c r="H37" s="97">
        <f t="shared" si="1"/>
        <v>0.000994465582843307</v>
      </c>
      <c r="I37" s="93"/>
      <c r="J37" s="97">
        <v>4.90783541631</v>
      </c>
      <c r="K37" s="97">
        <f t="shared" si="2"/>
        <v>4.90783541631</v>
      </c>
      <c r="L37" s="97">
        <f t="shared" si="3"/>
        <v>0.0049078354163100005</v>
      </c>
      <c r="M37" s="93"/>
      <c r="N37" s="97">
        <v>2.178995248138642</v>
      </c>
      <c r="O37" s="97">
        <f t="shared" si="4"/>
        <v>2.178995248138642</v>
      </c>
      <c r="P37" s="97">
        <f t="shared" si="5"/>
        <v>0.002178995248138642</v>
      </c>
      <c r="Q37" s="98"/>
      <c r="R37" s="93"/>
      <c r="S37" s="98"/>
      <c r="T37" s="93"/>
      <c r="U37" s="98"/>
      <c r="V37" s="93"/>
      <c r="W37" s="98"/>
      <c r="X37" s="93"/>
      <c r="Y37" s="98"/>
      <c r="Z37" s="93"/>
      <c r="AA37" s="98"/>
      <c r="AB37" s="93"/>
      <c r="AC37" s="98"/>
    </row>
    <row r="38" spans="1:29" s="92" customFormat="1" ht="12.75">
      <c r="A38" s="92" t="s">
        <v>297</v>
      </c>
      <c r="B38" s="92">
        <v>34</v>
      </c>
      <c r="C38" s="92" t="s">
        <v>377</v>
      </c>
      <c r="D38" s="96"/>
      <c r="E38" s="93"/>
      <c r="F38" s="97">
        <v>76.82606941081518</v>
      </c>
      <c r="G38" s="97">
        <f>SUM(G37,G36,G32,G26,G22,G19,G18,G15,G10,G7)</f>
        <v>76.82606941081526</v>
      </c>
      <c r="H38" s="97"/>
      <c r="I38" s="93"/>
      <c r="J38" s="97">
        <v>136.2066997660218</v>
      </c>
      <c r="K38" s="97">
        <f>SUM(K37,K36,K32,K26,K22,K19,K18,K15,K10,K7)</f>
        <v>136.2066997660218</v>
      </c>
      <c r="L38" s="97"/>
      <c r="M38" s="93"/>
      <c r="N38" s="97">
        <v>131.73286238236813</v>
      </c>
      <c r="O38" s="97">
        <f>SUM(O37,O36,O32,O26,O22,O19,O18,O15,O10,O7)</f>
        <v>131.73286238236813</v>
      </c>
      <c r="P38" s="97"/>
      <c r="Q38" s="98"/>
      <c r="R38" s="93"/>
      <c r="S38" s="98"/>
      <c r="T38" s="93"/>
      <c r="U38" s="98"/>
      <c r="V38" s="93"/>
      <c r="W38" s="98"/>
      <c r="X38" s="93"/>
      <c r="Y38" s="98"/>
      <c r="Z38" s="93"/>
      <c r="AA38" s="98"/>
      <c r="AB38" s="93"/>
      <c r="AC38" s="98"/>
    </row>
    <row r="39" spans="1:29" s="92" customFormat="1" ht="12.75">
      <c r="A39" s="92" t="s">
        <v>297</v>
      </c>
      <c r="B39" s="92">
        <v>35</v>
      </c>
      <c r="C39" s="92" t="s">
        <v>27</v>
      </c>
      <c r="D39" s="96"/>
      <c r="E39" s="94">
        <f>(F39-H39)*2/F39*100</f>
        <v>5.910059409282788E-14</v>
      </c>
      <c r="F39" s="97">
        <v>1.5028248587570623</v>
      </c>
      <c r="G39" s="97"/>
      <c r="H39" s="97">
        <f>SUM(H5:H37)</f>
        <v>1.5028248587570618</v>
      </c>
      <c r="I39" s="94">
        <f>(J39-L39)*2/J39*100</f>
        <v>3.4474296532934536E-14</v>
      </c>
      <c r="J39" s="97">
        <v>2.5763496547394853</v>
      </c>
      <c r="K39" s="97"/>
      <c r="L39" s="97">
        <f>SUM(L5:L37)</f>
        <v>2.576349654739485</v>
      </c>
      <c r="M39" s="94">
        <f>(N39-P39)*2/N39*100</f>
        <v>-3.4793075078142685E-14</v>
      </c>
      <c r="N39" s="97">
        <v>2.55274481403366</v>
      </c>
      <c r="O39" s="97"/>
      <c r="P39" s="97">
        <f>SUM(P5:P37)</f>
        <v>2.5527448140336606</v>
      </c>
      <c r="Q39" s="98"/>
      <c r="R39" s="93"/>
      <c r="S39" s="98"/>
      <c r="T39" s="93"/>
      <c r="U39" s="98"/>
      <c r="V39" s="93"/>
      <c r="W39" s="98"/>
      <c r="X39" s="93"/>
      <c r="Y39" s="98"/>
      <c r="Z39" s="93"/>
      <c r="AA39" s="98"/>
      <c r="AB39" s="93"/>
      <c r="AC39" s="98"/>
    </row>
  </sheetData>
  <printOptions headings="1" horizontalCentered="1"/>
  <pageMargins left="0.25" right="0.25" top="0.5" bottom="0.5" header="0.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T39"/>
  <sheetViews>
    <sheetView workbookViewId="0" topLeftCell="L1">
      <pane ySplit="1305" topLeftCell="BM1" activePane="topLeft" state="split"/>
      <selection pane="topLeft" activeCell="B2" sqref="B2"/>
      <selection pane="bottomLeft" activeCell="B2" sqref="B2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14.140625" style="0" customWidth="1"/>
    <col min="4" max="4" width="7.00390625" style="95" customWidth="1"/>
    <col min="5" max="5" width="4.421875" style="0" customWidth="1"/>
    <col min="7" max="7" width="7.7109375" style="69" customWidth="1"/>
    <col min="8" max="8" width="6.7109375" style="69" bestFit="1" customWidth="1"/>
    <col min="9" max="9" width="4.00390625" style="0" customWidth="1"/>
    <col min="11" max="11" width="7.7109375" style="69" customWidth="1"/>
    <col min="12" max="12" width="6.7109375" style="69" bestFit="1" customWidth="1"/>
    <col min="13" max="13" width="3.57421875" style="0" customWidth="1"/>
    <col min="15" max="15" width="7.7109375" style="69" customWidth="1"/>
    <col min="16" max="16" width="6.7109375" style="69" bestFit="1" customWidth="1"/>
    <col min="17" max="17" width="4.28125" style="0" customWidth="1"/>
    <col min="19" max="19" width="6.7109375" style="69" bestFit="1" customWidth="1"/>
    <col min="20" max="20" width="8.28125" style="69" customWidth="1"/>
    <col min="21" max="21" width="3.421875" style="0" customWidth="1"/>
    <col min="22" max="22" width="7.140625" style="0" bestFit="1" customWidth="1"/>
    <col min="23" max="23" width="7.7109375" style="69" customWidth="1"/>
    <col min="24" max="24" width="8.28125" style="69" customWidth="1"/>
  </cols>
  <sheetData>
    <row r="1" ht="12.75">
      <c r="C1" s="6" t="s">
        <v>300</v>
      </c>
    </row>
    <row r="2" spans="5:24" ht="12.75">
      <c r="E2" s="133"/>
      <c r="F2" s="133" t="s">
        <v>54</v>
      </c>
      <c r="G2" s="134"/>
      <c r="H2" s="134"/>
      <c r="I2" s="119"/>
      <c r="J2" s="133" t="s">
        <v>109</v>
      </c>
      <c r="K2" s="134"/>
      <c r="L2" s="134"/>
      <c r="M2" s="119"/>
      <c r="N2" s="133" t="s">
        <v>55</v>
      </c>
      <c r="O2" s="134"/>
      <c r="P2" s="134"/>
      <c r="Q2" s="119"/>
      <c r="R2" s="133" t="s">
        <v>164</v>
      </c>
      <c r="S2" s="134"/>
      <c r="T2" s="134"/>
      <c r="U2" s="119"/>
      <c r="V2" s="133" t="s">
        <v>165</v>
      </c>
      <c r="W2" s="134"/>
      <c r="X2" s="134"/>
    </row>
    <row r="3" spans="4:24" ht="12.75">
      <c r="D3" s="95" t="s">
        <v>23</v>
      </c>
      <c r="F3" s="50" t="s">
        <v>25</v>
      </c>
      <c r="G3" s="110" t="s">
        <v>25</v>
      </c>
      <c r="H3" s="110" t="s">
        <v>27</v>
      </c>
      <c r="I3" s="50"/>
      <c r="J3" s="50" t="s">
        <v>25</v>
      </c>
      <c r="K3" s="110" t="s">
        <v>25</v>
      </c>
      <c r="L3" s="110" t="s">
        <v>27</v>
      </c>
      <c r="M3" s="50"/>
      <c r="N3" s="50" t="s">
        <v>25</v>
      </c>
      <c r="O3" s="110" t="s">
        <v>25</v>
      </c>
      <c r="P3" s="110" t="s">
        <v>27</v>
      </c>
      <c r="Q3" s="50"/>
      <c r="R3" s="50" t="s">
        <v>25</v>
      </c>
      <c r="S3" s="110" t="s">
        <v>25</v>
      </c>
      <c r="T3" s="110" t="s">
        <v>27</v>
      </c>
      <c r="V3" s="50" t="s">
        <v>25</v>
      </c>
      <c r="W3" s="110" t="s">
        <v>25</v>
      </c>
      <c r="X3" s="110" t="s">
        <v>27</v>
      </c>
    </row>
    <row r="4" spans="4:24" ht="12.75">
      <c r="D4" s="95" t="s">
        <v>342</v>
      </c>
      <c r="F4" s="50" t="s">
        <v>343</v>
      </c>
      <c r="G4" s="110" t="s">
        <v>71</v>
      </c>
      <c r="H4" s="110" t="s">
        <v>71</v>
      </c>
      <c r="I4" s="50"/>
      <c r="J4" s="50" t="s">
        <v>343</v>
      </c>
      <c r="K4" s="110" t="s">
        <v>71</v>
      </c>
      <c r="L4" s="110" t="s">
        <v>71</v>
      </c>
      <c r="M4" s="50"/>
      <c r="N4" s="50" t="s">
        <v>343</v>
      </c>
      <c r="O4" s="110" t="s">
        <v>71</v>
      </c>
      <c r="P4" s="110" t="s">
        <v>71</v>
      </c>
      <c r="Q4" s="50"/>
      <c r="R4" s="50" t="s">
        <v>343</v>
      </c>
      <c r="S4" s="110" t="s">
        <v>71</v>
      </c>
      <c r="T4" s="110" t="s">
        <v>71</v>
      </c>
      <c r="V4" s="50" t="s">
        <v>343</v>
      </c>
      <c r="W4" s="110" t="s">
        <v>71</v>
      </c>
      <c r="X4" s="110" t="s">
        <v>71</v>
      </c>
    </row>
    <row r="5" spans="1:46" s="92" customFormat="1" ht="12.75">
      <c r="A5" s="92" t="s">
        <v>300</v>
      </c>
      <c r="B5" s="92">
        <v>1</v>
      </c>
      <c r="C5" s="92" t="s">
        <v>344</v>
      </c>
      <c r="D5" s="96">
        <v>1</v>
      </c>
      <c r="E5" s="93"/>
      <c r="F5" s="97">
        <v>0.006722988333397824</v>
      </c>
      <c r="G5" s="97">
        <f>IF(E5=1,F5/2,F5)</f>
        <v>0.006722988333397824</v>
      </c>
      <c r="H5" s="97">
        <f>G5*$D5</f>
        <v>0.006722988333397824</v>
      </c>
      <c r="I5" s="93">
        <v>1</v>
      </c>
      <c r="J5" s="97">
        <v>0.00327167430275716</v>
      </c>
      <c r="K5" s="97">
        <f>IF(I5=1,J5/2,J5)</f>
        <v>0.00163583715137858</v>
      </c>
      <c r="L5" s="97">
        <f>K5*$D5</f>
        <v>0.00163583715137858</v>
      </c>
      <c r="M5" s="93">
        <v>1</v>
      </c>
      <c r="N5" s="97">
        <v>0.002539951587196</v>
      </c>
      <c r="O5" s="97">
        <f>IF(M5=1,N5/2,N5)</f>
        <v>0.001269975793598</v>
      </c>
      <c r="P5" s="97">
        <f>O5*$D5</f>
        <v>0.001269975793598</v>
      </c>
      <c r="Q5" s="93">
        <v>1</v>
      </c>
      <c r="R5" s="97">
        <v>0.0042007212518307</v>
      </c>
      <c r="S5" s="97">
        <f>IF(Q5=1,R5/2,R5)</f>
        <v>0.00210036062591535</v>
      </c>
      <c r="T5" s="97">
        <f>S5*$D5</f>
        <v>0.00210036062591535</v>
      </c>
      <c r="U5" s="93">
        <v>1</v>
      </c>
      <c r="V5" s="97">
        <v>0.0029323947138571362</v>
      </c>
      <c r="W5" s="97">
        <f>IF(U5=1,V5/2,V5)</f>
        <v>0.0014661973569285681</v>
      </c>
      <c r="X5" s="97">
        <f>W5*$D5</f>
        <v>0.0014661973569285681</v>
      </c>
      <c r="Y5" s="93"/>
      <c r="Z5" s="97"/>
      <c r="AA5" s="93"/>
      <c r="AB5" s="97"/>
      <c r="AC5" s="93"/>
      <c r="AD5" s="97"/>
      <c r="AE5" s="93"/>
      <c r="AF5" s="98"/>
      <c r="AG5" s="93"/>
      <c r="AH5" s="98"/>
      <c r="AI5" s="93"/>
      <c r="AJ5" s="98"/>
      <c r="AK5" s="93"/>
      <c r="AL5" s="98"/>
      <c r="AM5" s="93"/>
      <c r="AN5" s="98"/>
      <c r="AO5" s="93"/>
      <c r="AP5" s="98"/>
      <c r="AQ5" s="93"/>
      <c r="AR5" s="98"/>
      <c r="AS5" s="93"/>
      <c r="AT5" s="98"/>
    </row>
    <row r="6" spans="1:46" s="92" customFormat="1" ht="12.75">
      <c r="A6" s="92" t="s">
        <v>300</v>
      </c>
      <c r="B6" s="92">
        <v>2</v>
      </c>
      <c r="C6" s="92" t="s">
        <v>345</v>
      </c>
      <c r="D6" s="96">
        <v>0</v>
      </c>
      <c r="E6" s="93"/>
      <c r="F6" s="97">
        <v>0.20490491864334637</v>
      </c>
      <c r="G6" s="97">
        <f aca="true" t="shared" si="0" ref="G6:G37">IF(E6=1,F6/2,F6)</f>
        <v>0.20490491864334637</v>
      </c>
      <c r="H6" s="97">
        <f aca="true" t="shared" si="1" ref="H6:H37">G6*$D6</f>
        <v>0</v>
      </c>
      <c r="I6" s="93"/>
      <c r="J6" s="97">
        <v>4.6043232624061</v>
      </c>
      <c r="K6" s="97">
        <f aca="true" t="shared" si="2" ref="K6:K37">IF(I6=1,J6/2,J6)</f>
        <v>4.6043232624061</v>
      </c>
      <c r="L6" s="97">
        <f aca="true" t="shared" si="3" ref="L6:L37">K6*$D6</f>
        <v>0</v>
      </c>
      <c r="M6" s="93"/>
      <c r="N6" s="97">
        <v>1.28350656004071</v>
      </c>
      <c r="O6" s="97">
        <f aca="true" t="shared" si="4" ref="O6:O37">IF(M6=1,N6/2,N6)</f>
        <v>1.28350656004071</v>
      </c>
      <c r="P6" s="97">
        <f aca="true" t="shared" si="5" ref="P6:P37">O6*$D6</f>
        <v>0</v>
      </c>
      <c r="Q6" s="93"/>
      <c r="R6" s="97">
        <v>0.3500161462180488</v>
      </c>
      <c r="S6" s="97">
        <f aca="true" t="shared" si="6" ref="S6:S37">IF(Q6=1,R6/2,R6)</f>
        <v>0.3500161462180488</v>
      </c>
      <c r="T6" s="97">
        <f aca="true" t="shared" si="7" ref="T6:T37">S6*$D6</f>
        <v>0</v>
      </c>
      <c r="U6" s="93"/>
      <c r="V6" s="97">
        <v>0.29353819352143695</v>
      </c>
      <c r="W6" s="97">
        <f aca="true" t="shared" si="8" ref="W6:W37">IF(U6=1,V6/2,V6)</f>
        <v>0.29353819352143695</v>
      </c>
      <c r="X6" s="97">
        <f aca="true" t="shared" si="9" ref="X6:X37">W6*$D6</f>
        <v>0</v>
      </c>
      <c r="Y6" s="93"/>
      <c r="Z6" s="97"/>
      <c r="AA6" s="93"/>
      <c r="AB6" s="97"/>
      <c r="AC6" s="93"/>
      <c r="AD6" s="97"/>
      <c r="AE6" s="93"/>
      <c r="AF6" s="98"/>
      <c r="AG6" s="93"/>
      <c r="AH6" s="98"/>
      <c r="AI6" s="93"/>
      <c r="AJ6" s="98"/>
      <c r="AK6" s="93"/>
      <c r="AL6" s="98"/>
      <c r="AM6" s="93"/>
      <c r="AN6" s="98"/>
      <c r="AO6" s="93"/>
      <c r="AP6" s="98"/>
      <c r="AQ6" s="93"/>
      <c r="AR6" s="98"/>
      <c r="AS6" s="93"/>
      <c r="AT6" s="98"/>
    </row>
    <row r="7" spans="1:46" s="92" customFormat="1" ht="12.75">
      <c r="A7" s="92" t="s">
        <v>300</v>
      </c>
      <c r="B7" s="92">
        <v>3</v>
      </c>
      <c r="C7" s="92" t="s">
        <v>346</v>
      </c>
      <c r="D7" s="96">
        <v>0</v>
      </c>
      <c r="E7" s="93"/>
      <c r="F7" s="97">
        <v>0.2116279069767442</v>
      </c>
      <c r="G7" s="97">
        <f t="shared" si="0"/>
        <v>0.2116279069767442</v>
      </c>
      <c r="H7" s="97">
        <f t="shared" si="1"/>
        <v>0</v>
      </c>
      <c r="I7" s="93"/>
      <c r="J7" s="97">
        <v>4.6075949367088604</v>
      </c>
      <c r="K7" s="97">
        <f t="shared" si="2"/>
        <v>4.6075949367088604</v>
      </c>
      <c r="L7" s="97">
        <f t="shared" si="3"/>
        <v>0</v>
      </c>
      <c r="M7" s="93"/>
      <c r="N7" s="97">
        <v>1.2860465116279</v>
      </c>
      <c r="O7" s="97">
        <f t="shared" si="4"/>
        <v>1.2860465116279</v>
      </c>
      <c r="P7" s="97">
        <f t="shared" si="5"/>
        <v>0</v>
      </c>
      <c r="Q7" s="93"/>
      <c r="R7" s="97">
        <v>0.35421686746988</v>
      </c>
      <c r="S7" s="97">
        <f t="shared" si="6"/>
        <v>0.35421686746988</v>
      </c>
      <c r="T7" s="97">
        <f t="shared" si="7"/>
        <v>0</v>
      </c>
      <c r="U7" s="93"/>
      <c r="V7" s="97">
        <v>0.2964705882352941</v>
      </c>
      <c r="W7" s="97">
        <f t="shared" si="8"/>
        <v>0.2964705882352941</v>
      </c>
      <c r="X7" s="97">
        <f t="shared" si="9"/>
        <v>0</v>
      </c>
      <c r="Y7" s="93"/>
      <c r="Z7" s="97"/>
      <c r="AA7" s="93"/>
      <c r="AB7" s="97"/>
      <c r="AC7" s="93"/>
      <c r="AD7" s="97"/>
      <c r="AE7" s="93"/>
      <c r="AF7" s="98"/>
      <c r="AG7" s="93"/>
      <c r="AH7" s="98"/>
      <c r="AI7" s="93"/>
      <c r="AJ7" s="98"/>
      <c r="AK7" s="93"/>
      <c r="AL7" s="98"/>
      <c r="AM7" s="93"/>
      <c r="AN7" s="98"/>
      <c r="AO7" s="93"/>
      <c r="AP7" s="98"/>
      <c r="AQ7" s="93"/>
      <c r="AR7" s="98"/>
      <c r="AS7" s="93"/>
      <c r="AT7" s="98"/>
    </row>
    <row r="8" spans="1:46" s="92" customFormat="1" ht="12.75">
      <c r="A8" s="92" t="s">
        <v>300</v>
      </c>
      <c r="B8" s="92">
        <v>4</v>
      </c>
      <c r="C8" s="92" t="s">
        <v>347</v>
      </c>
      <c r="D8" s="96">
        <v>0.5</v>
      </c>
      <c r="E8" s="93"/>
      <c r="F8" s="97">
        <v>0.030253447500290215</v>
      </c>
      <c r="G8" s="97">
        <f t="shared" si="0"/>
        <v>0.030253447500290215</v>
      </c>
      <c r="H8" s="97">
        <f t="shared" si="1"/>
        <v>0.015126723750145107</v>
      </c>
      <c r="I8" s="93"/>
      <c r="J8" s="97">
        <v>0.013171675764347</v>
      </c>
      <c r="K8" s="97">
        <f t="shared" si="2"/>
        <v>0.013171675764347</v>
      </c>
      <c r="L8" s="97">
        <f t="shared" si="3"/>
        <v>0.0065858378821735</v>
      </c>
      <c r="M8" s="93"/>
      <c r="N8" s="97">
        <v>0.0132519213245009</v>
      </c>
      <c r="O8" s="97">
        <f t="shared" si="4"/>
        <v>0.0132519213245009</v>
      </c>
      <c r="P8" s="97">
        <f t="shared" si="5"/>
        <v>0.00662596066225045</v>
      </c>
      <c r="Q8" s="93">
        <v>1</v>
      </c>
      <c r="R8" s="97">
        <v>0.0099289775043271</v>
      </c>
      <c r="S8" s="97">
        <f t="shared" si="6"/>
        <v>0.00496448875216355</v>
      </c>
      <c r="T8" s="97">
        <f t="shared" si="7"/>
        <v>0.002482244376081775</v>
      </c>
      <c r="U8" s="93">
        <v>1</v>
      </c>
      <c r="V8" s="97">
        <v>0.01094760693173331</v>
      </c>
      <c r="W8" s="97">
        <f t="shared" si="8"/>
        <v>0.005473803465866655</v>
      </c>
      <c r="X8" s="97">
        <f t="shared" si="9"/>
        <v>0.0027369017329333277</v>
      </c>
      <c r="Y8" s="93"/>
      <c r="Z8" s="97"/>
      <c r="AA8" s="93"/>
      <c r="AB8" s="97"/>
      <c r="AC8" s="93"/>
      <c r="AD8" s="97"/>
      <c r="AE8" s="93"/>
      <c r="AF8" s="98"/>
      <c r="AG8" s="93"/>
      <c r="AH8" s="98"/>
      <c r="AI8" s="93"/>
      <c r="AJ8" s="98"/>
      <c r="AK8" s="93"/>
      <c r="AL8" s="98"/>
      <c r="AM8" s="93"/>
      <c r="AN8" s="98"/>
      <c r="AO8" s="93"/>
      <c r="AP8" s="98"/>
      <c r="AQ8" s="93"/>
      <c r="AR8" s="98"/>
      <c r="AS8" s="93"/>
      <c r="AT8" s="98"/>
    </row>
    <row r="9" spans="1:46" s="92" customFormat="1" ht="12.75">
      <c r="A9" s="92" t="s">
        <v>300</v>
      </c>
      <c r="B9" s="92">
        <v>5</v>
      </c>
      <c r="C9" s="92" t="s">
        <v>348</v>
      </c>
      <c r="D9" s="96">
        <v>0</v>
      </c>
      <c r="E9" s="93"/>
      <c r="F9" s="97">
        <v>0.425560505988082</v>
      </c>
      <c r="G9" s="97">
        <f t="shared" si="0"/>
        <v>0.425560505988082</v>
      </c>
      <c r="H9" s="97">
        <f t="shared" si="1"/>
        <v>0</v>
      </c>
      <c r="I9" s="93"/>
      <c r="J9" s="97">
        <v>0.25265110904578</v>
      </c>
      <c r="K9" s="97">
        <f t="shared" si="2"/>
        <v>0.25265110904578</v>
      </c>
      <c r="L9" s="97">
        <f t="shared" si="3"/>
        <v>0</v>
      </c>
      <c r="M9" s="93"/>
      <c r="N9" s="97">
        <v>0.18209691588480142</v>
      </c>
      <c r="O9" s="97">
        <f t="shared" si="4"/>
        <v>0.18209691588480142</v>
      </c>
      <c r="P9" s="97">
        <f t="shared" si="5"/>
        <v>0</v>
      </c>
      <c r="Q9" s="93"/>
      <c r="R9" s="97">
        <v>0.07778186586916687</v>
      </c>
      <c r="S9" s="97">
        <f t="shared" si="6"/>
        <v>0.07778186586916687</v>
      </c>
      <c r="T9" s="97">
        <f t="shared" si="7"/>
        <v>0</v>
      </c>
      <c r="U9" s="93"/>
      <c r="V9" s="97">
        <v>0.114228863656502</v>
      </c>
      <c r="W9" s="97">
        <f t="shared" si="8"/>
        <v>0.114228863656502</v>
      </c>
      <c r="X9" s="97">
        <f t="shared" si="9"/>
        <v>0</v>
      </c>
      <c r="Y9" s="93"/>
      <c r="Z9" s="97"/>
      <c r="AA9" s="93"/>
      <c r="AB9" s="97"/>
      <c r="AC9" s="93"/>
      <c r="AD9" s="97"/>
      <c r="AE9" s="93"/>
      <c r="AF9" s="98"/>
      <c r="AG9" s="93"/>
      <c r="AH9" s="98"/>
      <c r="AI9" s="93"/>
      <c r="AJ9" s="98"/>
      <c r="AK9" s="93"/>
      <c r="AL9" s="98"/>
      <c r="AM9" s="93"/>
      <c r="AN9" s="98"/>
      <c r="AO9" s="93"/>
      <c r="AP9" s="98"/>
      <c r="AQ9" s="93"/>
      <c r="AR9" s="98"/>
      <c r="AS9" s="93"/>
      <c r="AT9" s="98"/>
    </row>
    <row r="10" spans="1:46" s="92" customFormat="1" ht="12.75">
      <c r="A10" s="92" t="s">
        <v>300</v>
      </c>
      <c r="B10" s="92">
        <v>6</v>
      </c>
      <c r="C10" s="92" t="s">
        <v>349</v>
      </c>
      <c r="D10" s="96">
        <v>0</v>
      </c>
      <c r="E10" s="93"/>
      <c r="F10" s="97">
        <v>0.4558139534883721</v>
      </c>
      <c r="G10" s="97">
        <f t="shared" si="0"/>
        <v>0.4558139534883721</v>
      </c>
      <c r="H10" s="97">
        <f t="shared" si="1"/>
        <v>0</v>
      </c>
      <c r="I10" s="93"/>
      <c r="J10" s="97">
        <v>0.26582278481012656</v>
      </c>
      <c r="K10" s="97">
        <f t="shared" si="2"/>
        <v>0.26582278481012656</v>
      </c>
      <c r="L10" s="97">
        <f t="shared" si="3"/>
        <v>0</v>
      </c>
      <c r="M10" s="93"/>
      <c r="N10" s="97">
        <v>0.19534883720930232</v>
      </c>
      <c r="O10" s="97">
        <f t="shared" si="4"/>
        <v>0.19534883720930232</v>
      </c>
      <c r="P10" s="97">
        <f t="shared" si="5"/>
        <v>0</v>
      </c>
      <c r="Q10" s="93"/>
      <c r="R10" s="97">
        <v>0.087710843373494</v>
      </c>
      <c r="S10" s="97">
        <f t="shared" si="6"/>
        <v>0.087710843373494</v>
      </c>
      <c r="T10" s="97">
        <f t="shared" si="7"/>
        <v>0</v>
      </c>
      <c r="U10" s="93"/>
      <c r="V10" s="97">
        <v>0.12517647058823528</v>
      </c>
      <c r="W10" s="97">
        <f t="shared" si="8"/>
        <v>0.12517647058823528</v>
      </c>
      <c r="X10" s="97">
        <f t="shared" si="9"/>
        <v>0</v>
      </c>
      <c r="Y10" s="93"/>
      <c r="Z10" s="97"/>
      <c r="AA10" s="93"/>
      <c r="AB10" s="97"/>
      <c r="AC10" s="93"/>
      <c r="AD10" s="97"/>
      <c r="AE10" s="93"/>
      <c r="AF10" s="98"/>
      <c r="AG10" s="93"/>
      <c r="AH10" s="98"/>
      <c r="AI10" s="93"/>
      <c r="AJ10" s="98"/>
      <c r="AK10" s="93"/>
      <c r="AL10" s="98"/>
      <c r="AM10" s="93"/>
      <c r="AN10" s="98"/>
      <c r="AO10" s="93"/>
      <c r="AP10" s="98"/>
      <c r="AQ10" s="93"/>
      <c r="AR10" s="98"/>
      <c r="AS10" s="93"/>
      <c r="AT10" s="98"/>
    </row>
    <row r="11" spans="1:46" s="92" customFormat="1" ht="12.75">
      <c r="A11" s="92" t="s">
        <v>300</v>
      </c>
      <c r="B11" s="92">
        <v>7</v>
      </c>
      <c r="C11" s="92" t="s">
        <v>350</v>
      </c>
      <c r="D11" s="96">
        <v>0.1</v>
      </c>
      <c r="E11" s="93"/>
      <c r="F11" s="97">
        <v>0.030253447500290215</v>
      </c>
      <c r="G11" s="97">
        <f t="shared" si="0"/>
        <v>0.030253447500290215</v>
      </c>
      <c r="H11" s="97">
        <f t="shared" si="1"/>
        <v>0.0030253447500290217</v>
      </c>
      <c r="I11" s="93"/>
      <c r="J11" s="97">
        <v>0.011896997464571494</v>
      </c>
      <c r="K11" s="97">
        <f t="shared" si="2"/>
        <v>0.011896997464571494</v>
      </c>
      <c r="L11" s="97">
        <f t="shared" si="3"/>
        <v>0.0011896997464571494</v>
      </c>
      <c r="M11" s="93"/>
      <c r="N11" s="97">
        <v>0.01177948562177858</v>
      </c>
      <c r="O11" s="97">
        <f t="shared" si="4"/>
        <v>0.01177948562177858</v>
      </c>
      <c r="P11" s="97">
        <f t="shared" si="5"/>
        <v>0.001177948562177858</v>
      </c>
      <c r="Q11" s="93"/>
      <c r="R11" s="97">
        <v>0.00878332625382782</v>
      </c>
      <c r="S11" s="97">
        <f t="shared" si="6"/>
        <v>0.00878332625382782</v>
      </c>
      <c r="T11" s="97">
        <f t="shared" si="7"/>
        <v>0.0008783326253827819</v>
      </c>
      <c r="U11" s="93"/>
      <c r="V11" s="97">
        <v>0.012902536740971405</v>
      </c>
      <c r="W11" s="97">
        <f t="shared" si="8"/>
        <v>0.012902536740971405</v>
      </c>
      <c r="X11" s="97">
        <f t="shared" si="9"/>
        <v>0.0012902536740971406</v>
      </c>
      <c r="Y11" s="93"/>
      <c r="Z11" s="97"/>
      <c r="AA11" s="93"/>
      <c r="AB11" s="97"/>
      <c r="AC11" s="93"/>
      <c r="AD11" s="97"/>
      <c r="AE11" s="93"/>
      <c r="AF11" s="98"/>
      <c r="AG11" s="93"/>
      <c r="AH11" s="98"/>
      <c r="AI11" s="93"/>
      <c r="AJ11" s="98"/>
      <c r="AK11" s="93"/>
      <c r="AL11" s="98"/>
      <c r="AM11" s="93"/>
      <c r="AN11" s="98"/>
      <c r="AO11" s="93"/>
      <c r="AP11" s="98"/>
      <c r="AQ11" s="93"/>
      <c r="AR11" s="98"/>
      <c r="AS11" s="93"/>
      <c r="AT11" s="98"/>
    </row>
    <row r="12" spans="1:46" s="92" customFormat="1" ht="12.75">
      <c r="A12" s="92" t="s">
        <v>300</v>
      </c>
      <c r="B12" s="92">
        <v>8</v>
      </c>
      <c r="C12" s="92" t="s">
        <v>351</v>
      </c>
      <c r="D12" s="96">
        <v>0.1</v>
      </c>
      <c r="E12" s="93"/>
      <c r="F12" s="97">
        <v>0.04855491574120651</v>
      </c>
      <c r="G12" s="97">
        <f t="shared" si="0"/>
        <v>0.04855491574120651</v>
      </c>
      <c r="H12" s="97">
        <f t="shared" si="1"/>
        <v>0.004855491574120651</v>
      </c>
      <c r="I12" s="93"/>
      <c r="J12" s="97">
        <v>0.02081974556300011</v>
      </c>
      <c r="K12" s="97">
        <f t="shared" si="2"/>
        <v>0.02081974556300011</v>
      </c>
      <c r="L12" s="97">
        <f t="shared" si="3"/>
        <v>0.002081974556300011</v>
      </c>
      <c r="M12" s="93"/>
      <c r="N12" s="97">
        <v>0.019877881986751354</v>
      </c>
      <c r="O12" s="97">
        <f t="shared" si="4"/>
        <v>0.019877881986751354</v>
      </c>
      <c r="P12" s="97">
        <f t="shared" si="5"/>
        <v>0.0019877881986751357</v>
      </c>
      <c r="Q12" s="93"/>
      <c r="R12" s="97">
        <v>0.018712303758155</v>
      </c>
      <c r="S12" s="97">
        <f t="shared" si="6"/>
        <v>0.018712303758155</v>
      </c>
      <c r="T12" s="97">
        <f t="shared" si="7"/>
        <v>0.0018712303758155</v>
      </c>
      <c r="U12" s="93"/>
      <c r="V12" s="97">
        <v>0.019158312130533296</v>
      </c>
      <c r="W12" s="97">
        <f t="shared" si="8"/>
        <v>0.019158312130533296</v>
      </c>
      <c r="X12" s="97">
        <f t="shared" si="9"/>
        <v>0.0019158312130533298</v>
      </c>
      <c r="Y12" s="93"/>
      <c r="Z12" s="97"/>
      <c r="AA12" s="93"/>
      <c r="AB12" s="97"/>
      <c r="AC12" s="93"/>
      <c r="AD12" s="97"/>
      <c r="AE12" s="93"/>
      <c r="AF12" s="98"/>
      <c r="AG12" s="93"/>
      <c r="AH12" s="98"/>
      <c r="AI12" s="93"/>
      <c r="AJ12" s="98"/>
      <c r="AK12" s="93"/>
      <c r="AL12" s="98"/>
      <c r="AM12" s="93"/>
      <c r="AN12" s="98"/>
      <c r="AO12" s="93"/>
      <c r="AP12" s="98"/>
      <c r="AQ12" s="93"/>
      <c r="AR12" s="98"/>
      <c r="AS12" s="93"/>
      <c r="AT12" s="98"/>
    </row>
    <row r="13" spans="1:46" s="92" customFormat="1" ht="12.75">
      <c r="A13" s="92" t="s">
        <v>300</v>
      </c>
      <c r="B13" s="92">
        <v>9</v>
      </c>
      <c r="C13" s="92" t="s">
        <v>352</v>
      </c>
      <c r="D13" s="96">
        <v>0.1</v>
      </c>
      <c r="E13" s="93"/>
      <c r="F13" s="97">
        <v>0.0354824384262663</v>
      </c>
      <c r="G13" s="97">
        <f t="shared" si="0"/>
        <v>0.0354824384262663</v>
      </c>
      <c r="H13" s="97">
        <f t="shared" si="1"/>
        <v>0.00354824384262663</v>
      </c>
      <c r="I13" s="93"/>
      <c r="J13" s="97">
        <v>0.014871246830714365</v>
      </c>
      <c r="K13" s="97">
        <f t="shared" si="2"/>
        <v>0.014871246830714365</v>
      </c>
      <c r="L13" s="97">
        <f t="shared" si="3"/>
        <v>0.0014871246830714365</v>
      </c>
      <c r="M13" s="93"/>
      <c r="N13" s="97">
        <v>0.0132519213245009</v>
      </c>
      <c r="O13" s="97">
        <f t="shared" si="4"/>
        <v>0.0132519213245009</v>
      </c>
      <c r="P13" s="97">
        <f t="shared" si="5"/>
        <v>0.0013251921324500902</v>
      </c>
      <c r="Q13" s="93"/>
      <c r="R13" s="97">
        <v>0.019476071258487774</v>
      </c>
      <c r="S13" s="97">
        <f t="shared" si="6"/>
        <v>0.019476071258487774</v>
      </c>
      <c r="T13" s="97">
        <f t="shared" si="7"/>
        <v>0.0019476071258487774</v>
      </c>
      <c r="U13" s="93"/>
      <c r="V13" s="97">
        <v>0.014075494626514256</v>
      </c>
      <c r="W13" s="97">
        <f t="shared" si="8"/>
        <v>0.014075494626514256</v>
      </c>
      <c r="X13" s="97">
        <f t="shared" si="9"/>
        <v>0.0014075494626514258</v>
      </c>
      <c r="Y13" s="93"/>
      <c r="Z13" s="97"/>
      <c r="AA13" s="93"/>
      <c r="AB13" s="97"/>
      <c r="AC13" s="93"/>
      <c r="AD13" s="97"/>
      <c r="AE13" s="93"/>
      <c r="AF13" s="98"/>
      <c r="AG13" s="93"/>
      <c r="AH13" s="98"/>
      <c r="AI13" s="93"/>
      <c r="AJ13" s="98"/>
      <c r="AK13" s="93"/>
      <c r="AL13" s="98"/>
      <c r="AM13" s="93"/>
      <c r="AN13" s="98"/>
      <c r="AO13" s="93"/>
      <c r="AP13" s="98"/>
      <c r="AQ13" s="93"/>
      <c r="AR13" s="98"/>
      <c r="AS13" s="93"/>
      <c r="AT13" s="98"/>
    </row>
    <row r="14" spans="1:46" s="92" customFormat="1" ht="12.75">
      <c r="A14" s="92" t="s">
        <v>300</v>
      </c>
      <c r="B14" s="92">
        <v>10</v>
      </c>
      <c r="C14" s="92" t="s">
        <v>353</v>
      </c>
      <c r="D14" s="96">
        <v>0</v>
      </c>
      <c r="E14" s="93"/>
      <c r="F14" s="97">
        <v>0.52059291926247</v>
      </c>
      <c r="G14" s="97">
        <f t="shared" si="0"/>
        <v>0.52059291926247</v>
      </c>
      <c r="H14" s="97">
        <f t="shared" si="1"/>
        <v>0</v>
      </c>
      <c r="I14" s="93"/>
      <c r="J14" s="97">
        <v>0.21823479495184</v>
      </c>
      <c r="K14" s="97">
        <f t="shared" si="2"/>
        <v>0.21823479495184</v>
      </c>
      <c r="L14" s="97">
        <f t="shared" si="3"/>
        <v>0</v>
      </c>
      <c r="M14" s="93"/>
      <c r="N14" s="97">
        <v>0.19927675757859706</v>
      </c>
      <c r="O14" s="97">
        <f t="shared" si="4"/>
        <v>0.19927675757859706</v>
      </c>
      <c r="P14" s="97">
        <f t="shared" si="5"/>
        <v>0</v>
      </c>
      <c r="Q14" s="93"/>
      <c r="R14" s="97">
        <v>0.13857046740422826</v>
      </c>
      <c r="S14" s="97">
        <f t="shared" si="6"/>
        <v>0.13857046740422826</v>
      </c>
      <c r="T14" s="97">
        <f t="shared" si="7"/>
        <v>0</v>
      </c>
      <c r="U14" s="93"/>
      <c r="V14" s="97">
        <v>0.15151071532551</v>
      </c>
      <c r="W14" s="97">
        <f t="shared" si="8"/>
        <v>0.15151071532551</v>
      </c>
      <c r="X14" s="97">
        <f t="shared" si="9"/>
        <v>0</v>
      </c>
      <c r="Y14" s="93"/>
      <c r="Z14" s="97"/>
      <c r="AA14" s="93"/>
      <c r="AB14" s="97"/>
      <c r="AC14" s="93"/>
      <c r="AD14" s="97"/>
      <c r="AE14" s="93"/>
      <c r="AF14" s="98"/>
      <c r="AG14" s="93"/>
      <c r="AH14" s="98"/>
      <c r="AI14" s="93"/>
      <c r="AJ14" s="98"/>
      <c r="AK14" s="93"/>
      <c r="AL14" s="98"/>
      <c r="AM14" s="93"/>
      <c r="AN14" s="98"/>
      <c r="AO14" s="93"/>
      <c r="AP14" s="98"/>
      <c r="AQ14" s="93"/>
      <c r="AR14" s="98"/>
      <c r="AS14" s="93"/>
      <c r="AT14" s="98"/>
    </row>
    <row r="15" spans="1:46" s="92" customFormat="1" ht="12.75">
      <c r="A15" s="92" t="s">
        <v>300</v>
      </c>
      <c r="B15" s="92">
        <v>11</v>
      </c>
      <c r="C15" s="92" t="s">
        <v>354</v>
      </c>
      <c r="D15" s="96">
        <v>0</v>
      </c>
      <c r="E15" s="93"/>
      <c r="F15" s="97">
        <v>0.6348837209302326</v>
      </c>
      <c r="G15" s="97">
        <f t="shared" si="0"/>
        <v>0.6348837209302326</v>
      </c>
      <c r="H15" s="97">
        <f t="shared" si="1"/>
        <v>0</v>
      </c>
      <c r="I15" s="93"/>
      <c r="J15" s="97">
        <v>0.26582278481012656</v>
      </c>
      <c r="K15" s="97">
        <f t="shared" si="2"/>
        <v>0.26582278481012656</v>
      </c>
      <c r="L15" s="97">
        <f t="shared" si="3"/>
        <v>0</v>
      </c>
      <c r="M15" s="93"/>
      <c r="N15" s="97">
        <v>0.2441860465116279</v>
      </c>
      <c r="O15" s="97">
        <f t="shared" si="4"/>
        <v>0.2441860465116279</v>
      </c>
      <c r="P15" s="97">
        <f t="shared" si="5"/>
        <v>0</v>
      </c>
      <c r="Q15" s="93"/>
      <c r="R15" s="97">
        <v>0.18554216867469878</v>
      </c>
      <c r="S15" s="97">
        <f t="shared" si="6"/>
        <v>0.18554216867469878</v>
      </c>
      <c r="T15" s="97">
        <f t="shared" si="7"/>
        <v>0</v>
      </c>
      <c r="U15" s="93"/>
      <c r="V15" s="97">
        <v>0.19764705882353</v>
      </c>
      <c r="W15" s="97">
        <f t="shared" si="8"/>
        <v>0.19764705882353</v>
      </c>
      <c r="X15" s="97">
        <f t="shared" si="9"/>
        <v>0</v>
      </c>
      <c r="Y15" s="93"/>
      <c r="Z15" s="97"/>
      <c r="AA15" s="93"/>
      <c r="AB15" s="97"/>
      <c r="AC15" s="93"/>
      <c r="AD15" s="97"/>
      <c r="AE15" s="93"/>
      <c r="AF15" s="98"/>
      <c r="AG15" s="93"/>
      <c r="AH15" s="98"/>
      <c r="AI15" s="93"/>
      <c r="AJ15" s="98"/>
      <c r="AK15" s="93"/>
      <c r="AL15" s="98"/>
      <c r="AM15" s="93"/>
      <c r="AN15" s="98"/>
      <c r="AO15" s="93"/>
      <c r="AP15" s="98"/>
      <c r="AQ15" s="93"/>
      <c r="AR15" s="98"/>
      <c r="AS15" s="93"/>
      <c r="AT15" s="98"/>
    </row>
    <row r="16" spans="1:46" s="92" customFormat="1" ht="12.75">
      <c r="A16" s="92" t="s">
        <v>300</v>
      </c>
      <c r="B16" s="92">
        <v>12</v>
      </c>
      <c r="C16" s="92" t="s">
        <v>355</v>
      </c>
      <c r="D16" s="96">
        <v>0.01</v>
      </c>
      <c r="E16" s="93"/>
      <c r="F16" s="97">
        <v>0.20542464352049</v>
      </c>
      <c r="G16" s="97">
        <f t="shared" si="0"/>
        <v>0.20542464352049</v>
      </c>
      <c r="H16" s="97">
        <f t="shared" si="1"/>
        <v>0.0020542464352049</v>
      </c>
      <c r="I16" s="93"/>
      <c r="J16" s="97">
        <v>0.0807296256524494</v>
      </c>
      <c r="K16" s="97">
        <f t="shared" si="2"/>
        <v>0.0807296256524494</v>
      </c>
      <c r="L16" s="97">
        <f t="shared" si="3"/>
        <v>0.000807296256524494</v>
      </c>
      <c r="M16" s="93"/>
      <c r="N16" s="97">
        <v>0.0662596066225045</v>
      </c>
      <c r="O16" s="97">
        <f t="shared" si="4"/>
        <v>0.0662596066225045</v>
      </c>
      <c r="P16" s="97">
        <f t="shared" si="5"/>
        <v>0.0006625960662250451</v>
      </c>
      <c r="Q16" s="93"/>
      <c r="R16" s="97">
        <v>0.06873907502995684</v>
      </c>
      <c r="S16" s="97">
        <f t="shared" si="6"/>
        <v>0.06873907502995684</v>
      </c>
      <c r="T16" s="97">
        <f t="shared" si="7"/>
        <v>0.0006873907502995684</v>
      </c>
      <c r="U16" s="93"/>
      <c r="V16" s="97">
        <v>0.07037747313257128</v>
      </c>
      <c r="W16" s="97">
        <f t="shared" si="8"/>
        <v>0.07037747313257128</v>
      </c>
      <c r="X16" s="97">
        <f t="shared" si="9"/>
        <v>0.0007037747313257129</v>
      </c>
      <c r="Y16" s="93"/>
      <c r="Z16" s="97"/>
      <c r="AA16" s="93"/>
      <c r="AB16" s="97"/>
      <c r="AC16" s="93"/>
      <c r="AD16" s="97"/>
      <c r="AE16" s="93"/>
      <c r="AF16" s="98"/>
      <c r="AG16" s="93"/>
      <c r="AH16" s="98"/>
      <c r="AI16" s="93"/>
      <c r="AJ16" s="98"/>
      <c r="AK16" s="93"/>
      <c r="AL16" s="98"/>
      <c r="AM16" s="93"/>
      <c r="AN16" s="98"/>
      <c r="AO16" s="93"/>
      <c r="AP16" s="98"/>
      <c r="AQ16" s="93"/>
      <c r="AR16" s="98"/>
      <c r="AS16" s="93"/>
      <c r="AT16" s="98"/>
    </row>
    <row r="17" spans="1:46" s="92" customFormat="1" ht="12.75">
      <c r="A17" s="92" t="s">
        <v>300</v>
      </c>
      <c r="B17" s="92">
        <v>13</v>
      </c>
      <c r="C17" s="92" t="s">
        <v>356</v>
      </c>
      <c r="D17" s="96">
        <v>0</v>
      </c>
      <c r="E17" s="93"/>
      <c r="F17" s="97">
        <v>0.2829474495027667</v>
      </c>
      <c r="G17" s="97">
        <f t="shared" si="0"/>
        <v>0.2829474495027667</v>
      </c>
      <c r="H17" s="97">
        <f t="shared" si="1"/>
        <v>0</v>
      </c>
      <c r="I17" s="93"/>
      <c r="J17" s="97">
        <v>0.09648556422096832</v>
      </c>
      <c r="K17" s="97">
        <f t="shared" si="2"/>
        <v>0.09648556422096832</v>
      </c>
      <c r="L17" s="97">
        <f t="shared" si="3"/>
        <v>0</v>
      </c>
      <c r="M17" s="93"/>
      <c r="N17" s="97">
        <v>0.08839155616819318</v>
      </c>
      <c r="O17" s="97">
        <f t="shared" si="4"/>
        <v>0.08839155616819318</v>
      </c>
      <c r="P17" s="97">
        <f t="shared" si="5"/>
        <v>0</v>
      </c>
      <c r="Q17" s="93"/>
      <c r="R17" s="97">
        <v>0.0847549008736576</v>
      </c>
      <c r="S17" s="97">
        <f t="shared" si="6"/>
        <v>0.0847549008736576</v>
      </c>
      <c r="T17" s="97">
        <f t="shared" si="7"/>
        <v>0</v>
      </c>
      <c r="U17" s="93"/>
      <c r="V17" s="97">
        <v>0.09432840922037</v>
      </c>
      <c r="W17" s="97">
        <f t="shared" si="8"/>
        <v>0.09432840922037</v>
      </c>
      <c r="X17" s="97">
        <f t="shared" si="9"/>
        <v>0</v>
      </c>
      <c r="Y17" s="93"/>
      <c r="Z17" s="97"/>
      <c r="AA17" s="93"/>
      <c r="AB17" s="97"/>
      <c r="AC17" s="93"/>
      <c r="AD17" s="97"/>
      <c r="AE17" s="93"/>
      <c r="AF17" s="98"/>
      <c r="AG17" s="93"/>
      <c r="AH17" s="98"/>
      <c r="AI17" s="93"/>
      <c r="AJ17" s="98"/>
      <c r="AK17" s="93"/>
      <c r="AL17" s="98"/>
      <c r="AM17" s="93"/>
      <c r="AN17" s="98"/>
      <c r="AO17" s="93"/>
      <c r="AP17" s="98"/>
      <c r="AQ17" s="93"/>
      <c r="AR17" s="98"/>
      <c r="AS17" s="93"/>
      <c r="AT17" s="98"/>
    </row>
    <row r="18" spans="1:46" s="92" customFormat="1" ht="12.75">
      <c r="A18" s="92" t="s">
        <v>300</v>
      </c>
      <c r="B18" s="92">
        <v>14</v>
      </c>
      <c r="C18" s="92" t="s">
        <v>357</v>
      </c>
      <c r="D18" s="96">
        <v>0</v>
      </c>
      <c r="E18" s="93"/>
      <c r="F18" s="97">
        <v>0.4883720930232558</v>
      </c>
      <c r="G18" s="97">
        <f t="shared" si="0"/>
        <v>0.4883720930232558</v>
      </c>
      <c r="H18" s="97">
        <f t="shared" si="1"/>
        <v>0</v>
      </c>
      <c r="I18" s="93"/>
      <c r="J18" s="97">
        <v>0.17721518987341772</v>
      </c>
      <c r="K18" s="97">
        <f t="shared" si="2"/>
        <v>0.17721518987341772</v>
      </c>
      <c r="L18" s="97">
        <f t="shared" si="3"/>
        <v>0</v>
      </c>
      <c r="M18" s="93"/>
      <c r="N18" s="97">
        <v>0.15465116279069768</v>
      </c>
      <c r="O18" s="97">
        <f t="shared" si="4"/>
        <v>0.15465116279069768</v>
      </c>
      <c r="P18" s="97">
        <f t="shared" si="5"/>
        <v>0</v>
      </c>
      <c r="Q18" s="93"/>
      <c r="R18" s="97">
        <v>0.15349397590361444</v>
      </c>
      <c r="S18" s="97">
        <f t="shared" si="6"/>
        <v>0.15349397590361444</v>
      </c>
      <c r="T18" s="97">
        <f t="shared" si="7"/>
        <v>0</v>
      </c>
      <c r="U18" s="93"/>
      <c r="V18" s="97">
        <v>0.16470588235294117</v>
      </c>
      <c r="W18" s="97">
        <f t="shared" si="8"/>
        <v>0.16470588235294117</v>
      </c>
      <c r="X18" s="97">
        <f t="shared" si="9"/>
        <v>0</v>
      </c>
      <c r="Y18" s="93"/>
      <c r="Z18" s="97"/>
      <c r="AA18" s="93"/>
      <c r="AB18" s="97"/>
      <c r="AC18" s="93"/>
      <c r="AD18" s="97"/>
      <c r="AE18" s="93"/>
      <c r="AF18" s="98"/>
      <c r="AG18" s="93"/>
      <c r="AH18" s="98"/>
      <c r="AI18" s="93"/>
      <c r="AJ18" s="98"/>
      <c r="AK18" s="93"/>
      <c r="AL18" s="98"/>
      <c r="AM18" s="93"/>
      <c r="AN18" s="98"/>
      <c r="AO18" s="93"/>
      <c r="AP18" s="98"/>
      <c r="AQ18" s="93"/>
      <c r="AR18" s="98"/>
      <c r="AS18" s="93"/>
      <c r="AT18" s="98"/>
    </row>
    <row r="19" spans="1:46" s="92" customFormat="1" ht="12.75">
      <c r="A19" s="92" t="s">
        <v>300</v>
      </c>
      <c r="B19" s="92">
        <v>15</v>
      </c>
      <c r="C19" s="92" t="s">
        <v>358</v>
      </c>
      <c r="D19" s="96">
        <v>0.001</v>
      </c>
      <c r="E19" s="93"/>
      <c r="F19" s="97">
        <v>0.5534883720930233</v>
      </c>
      <c r="G19" s="97">
        <f t="shared" si="0"/>
        <v>0.5534883720930233</v>
      </c>
      <c r="H19" s="97">
        <f t="shared" si="1"/>
        <v>0.0005534883720930233</v>
      </c>
      <c r="I19" s="93"/>
      <c r="J19" s="97">
        <v>0.3189873417721519</v>
      </c>
      <c r="K19" s="97">
        <f t="shared" si="2"/>
        <v>0.3189873417721519</v>
      </c>
      <c r="L19" s="97">
        <f t="shared" si="3"/>
        <v>0.0003189873417721519</v>
      </c>
      <c r="M19" s="93"/>
      <c r="N19" s="97">
        <v>0.16279069767441862</v>
      </c>
      <c r="O19" s="97">
        <f t="shared" si="4"/>
        <v>0.16279069767441862</v>
      </c>
      <c r="P19" s="97">
        <f t="shared" si="5"/>
        <v>0.00016279069767441862</v>
      </c>
      <c r="Q19" s="93"/>
      <c r="R19" s="97">
        <v>0.18554216867469878</v>
      </c>
      <c r="S19" s="97">
        <f t="shared" si="6"/>
        <v>0.18554216867469878</v>
      </c>
      <c r="T19" s="97">
        <f t="shared" si="7"/>
        <v>0.00018554216867469877</v>
      </c>
      <c r="U19" s="93"/>
      <c r="V19" s="97">
        <v>0.14</v>
      </c>
      <c r="W19" s="97">
        <f t="shared" si="8"/>
        <v>0.14</v>
      </c>
      <c r="X19" s="97">
        <f t="shared" si="9"/>
        <v>0.00014000000000000001</v>
      </c>
      <c r="Y19" s="93"/>
      <c r="Z19" s="97"/>
      <c r="AA19" s="93"/>
      <c r="AB19" s="97"/>
      <c r="AC19" s="93"/>
      <c r="AD19" s="97"/>
      <c r="AE19" s="93"/>
      <c r="AF19" s="98"/>
      <c r="AG19" s="93"/>
      <c r="AH19" s="98"/>
      <c r="AI19" s="93"/>
      <c r="AJ19" s="98"/>
      <c r="AK19" s="93"/>
      <c r="AL19" s="98"/>
      <c r="AM19" s="93"/>
      <c r="AN19" s="98"/>
      <c r="AO19" s="93"/>
      <c r="AP19" s="98"/>
      <c r="AQ19" s="93"/>
      <c r="AR19" s="98"/>
      <c r="AS19" s="93"/>
      <c r="AT19" s="98"/>
    </row>
    <row r="20" spans="1:46" s="92" customFormat="1" ht="12.75">
      <c r="A20" s="92" t="s">
        <v>300</v>
      </c>
      <c r="B20" s="92">
        <v>16</v>
      </c>
      <c r="C20" s="92" t="s">
        <v>359</v>
      </c>
      <c r="D20" s="96">
        <v>0.1</v>
      </c>
      <c r="E20" s="93"/>
      <c r="F20" s="97">
        <v>0.04855491574120651</v>
      </c>
      <c r="G20" s="97">
        <f t="shared" si="0"/>
        <v>0.04855491574120651</v>
      </c>
      <c r="H20" s="97">
        <f t="shared" si="1"/>
        <v>0.004855491574120651</v>
      </c>
      <c r="I20" s="93"/>
      <c r="J20" s="97">
        <v>0.023369102162551145</v>
      </c>
      <c r="K20" s="97">
        <f t="shared" si="2"/>
        <v>0.023369102162551145</v>
      </c>
      <c r="L20" s="97">
        <f t="shared" si="3"/>
        <v>0.0023369102162551147</v>
      </c>
      <c r="M20" s="93"/>
      <c r="N20" s="97">
        <v>0.027240060500363</v>
      </c>
      <c r="O20" s="97">
        <f t="shared" si="4"/>
        <v>0.027240060500363</v>
      </c>
      <c r="P20" s="97">
        <f t="shared" si="5"/>
        <v>0.0027240060500363004</v>
      </c>
      <c r="Q20" s="93"/>
      <c r="R20" s="97">
        <v>0.020239838758820624</v>
      </c>
      <c r="S20" s="97">
        <f t="shared" si="6"/>
        <v>0.020239838758820624</v>
      </c>
      <c r="T20" s="97">
        <f t="shared" si="7"/>
        <v>0.0020239838758820627</v>
      </c>
      <c r="U20" s="93"/>
      <c r="V20" s="97">
        <v>0.019549298092381</v>
      </c>
      <c r="W20" s="97">
        <f t="shared" si="8"/>
        <v>0.019549298092381</v>
      </c>
      <c r="X20" s="97">
        <f t="shared" si="9"/>
        <v>0.0019549298092381</v>
      </c>
      <c r="Y20" s="93"/>
      <c r="Z20" s="97"/>
      <c r="AA20" s="93"/>
      <c r="AB20" s="97"/>
      <c r="AC20" s="93"/>
      <c r="AD20" s="97"/>
      <c r="AE20" s="93"/>
      <c r="AF20" s="98"/>
      <c r="AG20" s="93"/>
      <c r="AH20" s="98"/>
      <c r="AI20" s="93"/>
      <c r="AJ20" s="98"/>
      <c r="AK20" s="93"/>
      <c r="AL20" s="98"/>
      <c r="AM20" s="93"/>
      <c r="AN20" s="98"/>
      <c r="AO20" s="93"/>
      <c r="AP20" s="98"/>
      <c r="AQ20" s="93"/>
      <c r="AR20" s="98"/>
      <c r="AS20" s="93"/>
      <c r="AT20" s="98"/>
    </row>
    <row r="21" spans="1:46" s="92" customFormat="1" ht="12.75">
      <c r="A21" s="92" t="s">
        <v>300</v>
      </c>
      <c r="B21" s="92">
        <v>17</v>
      </c>
      <c r="C21" s="92" t="s">
        <v>360</v>
      </c>
      <c r="D21" s="96">
        <v>0</v>
      </c>
      <c r="E21" s="93"/>
      <c r="F21" s="97">
        <v>2.230514851700654</v>
      </c>
      <c r="G21" s="97">
        <f t="shared" si="0"/>
        <v>2.230514851700654</v>
      </c>
      <c r="H21" s="97">
        <f t="shared" si="1"/>
        <v>0</v>
      </c>
      <c r="I21" s="93"/>
      <c r="J21" s="97">
        <v>1.128529632014664</v>
      </c>
      <c r="K21" s="97">
        <f t="shared" si="2"/>
        <v>1.128529632014664</v>
      </c>
      <c r="L21" s="97">
        <f t="shared" si="3"/>
        <v>0</v>
      </c>
      <c r="M21" s="93"/>
      <c r="N21" s="97">
        <v>0.8192715674066138</v>
      </c>
      <c r="O21" s="97">
        <f t="shared" si="4"/>
        <v>0.8192715674066138</v>
      </c>
      <c r="P21" s="97">
        <f t="shared" si="5"/>
        <v>0</v>
      </c>
      <c r="Q21" s="93"/>
      <c r="R21" s="97">
        <v>0.7893987154580467</v>
      </c>
      <c r="S21" s="97">
        <f t="shared" si="6"/>
        <v>0.7893987154580467</v>
      </c>
      <c r="T21" s="97">
        <f t="shared" si="7"/>
        <v>0</v>
      </c>
      <c r="U21" s="93"/>
      <c r="V21" s="97">
        <v>0.803980113672325</v>
      </c>
      <c r="W21" s="97">
        <f t="shared" si="8"/>
        <v>0.803980113672325</v>
      </c>
      <c r="X21" s="97">
        <f t="shared" si="9"/>
        <v>0</v>
      </c>
      <c r="Y21" s="93"/>
      <c r="Z21" s="97"/>
      <c r="AA21" s="93"/>
      <c r="AB21" s="97"/>
      <c r="AC21" s="93"/>
      <c r="AD21" s="97"/>
      <c r="AE21" s="93"/>
      <c r="AF21" s="98"/>
      <c r="AG21" s="93"/>
      <c r="AH21" s="98"/>
      <c r="AI21" s="93"/>
      <c r="AJ21" s="98"/>
      <c r="AK21" s="93"/>
      <c r="AL21" s="98"/>
      <c r="AM21" s="93"/>
      <c r="AN21" s="98"/>
      <c r="AO21" s="93"/>
      <c r="AP21" s="98"/>
      <c r="AQ21" s="93"/>
      <c r="AR21" s="98"/>
      <c r="AS21" s="93"/>
      <c r="AT21" s="98"/>
    </row>
    <row r="22" spans="1:46" s="92" customFormat="1" ht="12.75">
      <c r="A22" s="92" t="s">
        <v>300</v>
      </c>
      <c r="B22" s="92">
        <v>18</v>
      </c>
      <c r="C22" s="92" t="s">
        <v>361</v>
      </c>
      <c r="D22" s="96">
        <v>0</v>
      </c>
      <c r="E22" s="93"/>
      <c r="F22" s="97">
        <v>2.2790697674418605</v>
      </c>
      <c r="G22" s="97">
        <f t="shared" si="0"/>
        <v>2.2790697674418605</v>
      </c>
      <c r="H22" s="97">
        <f t="shared" si="1"/>
        <v>0</v>
      </c>
      <c r="I22" s="93"/>
      <c r="J22" s="97">
        <v>1.1518987341772151</v>
      </c>
      <c r="K22" s="97">
        <f t="shared" si="2"/>
        <v>1.1518987341772151</v>
      </c>
      <c r="L22" s="97">
        <f t="shared" si="3"/>
        <v>0</v>
      </c>
      <c r="M22" s="93"/>
      <c r="N22" s="97">
        <v>0.8465116279069768</v>
      </c>
      <c r="O22" s="97">
        <f t="shared" si="4"/>
        <v>0.8465116279069768</v>
      </c>
      <c r="P22" s="97">
        <f t="shared" si="5"/>
        <v>0</v>
      </c>
      <c r="Q22" s="93"/>
      <c r="R22" s="97">
        <v>0.8096385542168674</v>
      </c>
      <c r="S22" s="97">
        <f t="shared" si="6"/>
        <v>0.8096385542168674</v>
      </c>
      <c r="T22" s="97">
        <f t="shared" si="7"/>
        <v>0</v>
      </c>
      <c r="U22" s="93"/>
      <c r="V22" s="97">
        <v>0.8235294117647058</v>
      </c>
      <c r="W22" s="97">
        <f t="shared" si="8"/>
        <v>0.8235294117647058</v>
      </c>
      <c r="X22" s="97">
        <f t="shared" si="9"/>
        <v>0</v>
      </c>
      <c r="Y22" s="93"/>
      <c r="Z22" s="97"/>
      <c r="AA22" s="93"/>
      <c r="AB22" s="97"/>
      <c r="AC22" s="93"/>
      <c r="AD22" s="97"/>
      <c r="AE22" s="93"/>
      <c r="AF22" s="98"/>
      <c r="AG22" s="93"/>
      <c r="AH22" s="98"/>
      <c r="AI22" s="93"/>
      <c r="AJ22" s="98"/>
      <c r="AK22" s="93"/>
      <c r="AL22" s="98"/>
      <c r="AM22" s="93"/>
      <c r="AN22" s="98"/>
      <c r="AO22" s="93"/>
      <c r="AP22" s="98"/>
      <c r="AQ22" s="93"/>
      <c r="AR22" s="98"/>
      <c r="AS22" s="93"/>
      <c r="AT22" s="98"/>
    </row>
    <row r="23" spans="1:46" s="92" customFormat="1" ht="12.75">
      <c r="A23" s="92" t="s">
        <v>300</v>
      </c>
      <c r="B23" s="92">
        <v>19</v>
      </c>
      <c r="C23" s="92" t="s">
        <v>362</v>
      </c>
      <c r="D23" s="96">
        <v>0.05</v>
      </c>
      <c r="E23" s="93"/>
      <c r="F23" s="97">
        <v>0.20542464352049</v>
      </c>
      <c r="G23" s="97">
        <f t="shared" si="0"/>
        <v>0.20542464352049</v>
      </c>
      <c r="H23" s="97">
        <f t="shared" si="1"/>
        <v>0.0102712321760245</v>
      </c>
      <c r="I23" s="93"/>
      <c r="J23" s="97">
        <v>0.06798284265469423</v>
      </c>
      <c r="K23" s="97">
        <f t="shared" si="2"/>
        <v>0.06798284265469423</v>
      </c>
      <c r="L23" s="97">
        <f t="shared" si="3"/>
        <v>0.0033991421327347116</v>
      </c>
      <c r="M23" s="93"/>
      <c r="N23" s="97">
        <v>0.08098396364972774</v>
      </c>
      <c r="O23" s="97">
        <f t="shared" si="4"/>
        <v>0.08098396364972774</v>
      </c>
      <c r="P23" s="97">
        <f t="shared" si="5"/>
        <v>0.004049198182486387</v>
      </c>
      <c r="Q23" s="93"/>
      <c r="R23" s="97">
        <v>0.05346372502329976</v>
      </c>
      <c r="S23" s="97">
        <f t="shared" si="6"/>
        <v>0.05346372502329976</v>
      </c>
      <c r="T23" s="97">
        <f t="shared" si="7"/>
        <v>0.0026731862511649883</v>
      </c>
      <c r="U23" s="93"/>
      <c r="V23" s="97">
        <v>0.06646761351409511</v>
      </c>
      <c r="W23" s="97">
        <f t="shared" si="8"/>
        <v>0.06646761351409511</v>
      </c>
      <c r="X23" s="97">
        <f t="shared" si="9"/>
        <v>0.0033233806757047555</v>
      </c>
      <c r="Y23" s="93"/>
      <c r="Z23" s="97"/>
      <c r="AA23" s="93"/>
      <c r="AB23" s="97"/>
      <c r="AC23" s="93"/>
      <c r="AD23" s="97"/>
      <c r="AE23" s="93"/>
      <c r="AF23" s="98"/>
      <c r="AG23" s="93"/>
      <c r="AH23" s="98"/>
      <c r="AI23" s="93"/>
      <c r="AJ23" s="98"/>
      <c r="AK23" s="93"/>
      <c r="AL23" s="98"/>
      <c r="AM23" s="93"/>
      <c r="AN23" s="98"/>
      <c r="AO23" s="93"/>
      <c r="AP23" s="98"/>
      <c r="AQ23" s="93"/>
      <c r="AR23" s="98"/>
      <c r="AS23" s="93"/>
      <c r="AT23" s="98"/>
    </row>
    <row r="24" spans="1:46" s="92" customFormat="1" ht="12.75">
      <c r="A24" s="92" t="s">
        <v>300</v>
      </c>
      <c r="B24" s="92">
        <v>20</v>
      </c>
      <c r="C24" s="92" t="s">
        <v>363</v>
      </c>
      <c r="D24" s="96">
        <v>0.5</v>
      </c>
      <c r="E24" s="93"/>
      <c r="F24" s="97">
        <v>0.32867942963278257</v>
      </c>
      <c r="G24" s="97">
        <f t="shared" si="0"/>
        <v>0.32867942963278257</v>
      </c>
      <c r="H24" s="97">
        <f t="shared" si="1"/>
        <v>0.16433971481639129</v>
      </c>
      <c r="I24" s="93"/>
      <c r="J24" s="97">
        <v>0.12746782997755168</v>
      </c>
      <c r="K24" s="97">
        <f t="shared" si="2"/>
        <v>0.12746782997755168</v>
      </c>
      <c r="L24" s="97">
        <f t="shared" si="3"/>
        <v>0.06373391498877584</v>
      </c>
      <c r="M24" s="93"/>
      <c r="N24" s="97">
        <v>0.13251921324501</v>
      </c>
      <c r="O24" s="97">
        <f t="shared" si="4"/>
        <v>0.13251921324501</v>
      </c>
      <c r="P24" s="97">
        <f t="shared" si="5"/>
        <v>0.066259606622505</v>
      </c>
      <c r="Q24" s="93"/>
      <c r="R24" s="97">
        <v>0.12602163755492</v>
      </c>
      <c r="S24" s="97">
        <f t="shared" si="6"/>
        <v>0.12602163755492</v>
      </c>
      <c r="T24" s="97">
        <f t="shared" si="7"/>
        <v>0.06301081877746</v>
      </c>
      <c r="U24" s="93"/>
      <c r="V24" s="97">
        <v>0.15639438473904732</v>
      </c>
      <c r="W24" s="97">
        <f t="shared" si="8"/>
        <v>0.15639438473904732</v>
      </c>
      <c r="X24" s="97">
        <f t="shared" si="9"/>
        <v>0.07819719236952366</v>
      </c>
      <c r="Y24" s="93"/>
      <c r="Z24" s="97"/>
      <c r="AA24" s="93"/>
      <c r="AB24" s="97"/>
      <c r="AC24" s="93"/>
      <c r="AD24" s="97"/>
      <c r="AE24" s="93"/>
      <c r="AF24" s="98"/>
      <c r="AG24" s="93"/>
      <c r="AH24" s="98"/>
      <c r="AI24" s="93"/>
      <c r="AJ24" s="98"/>
      <c r="AK24" s="93"/>
      <c r="AL24" s="98"/>
      <c r="AM24" s="93"/>
      <c r="AN24" s="98"/>
      <c r="AO24" s="93"/>
      <c r="AP24" s="98"/>
      <c r="AQ24" s="93"/>
      <c r="AR24" s="98"/>
      <c r="AS24" s="93"/>
      <c r="AT24" s="98"/>
    </row>
    <row r="25" spans="1:46" s="92" customFormat="1" ht="12.75">
      <c r="A25" s="92" t="s">
        <v>300</v>
      </c>
      <c r="B25" s="92">
        <v>21</v>
      </c>
      <c r="C25" s="92" t="s">
        <v>364</v>
      </c>
      <c r="D25" s="96">
        <v>0</v>
      </c>
      <c r="E25" s="93"/>
      <c r="F25" s="97">
        <v>4.02403546173045</v>
      </c>
      <c r="G25" s="97">
        <f t="shared" si="0"/>
        <v>4.02403546173045</v>
      </c>
      <c r="H25" s="97">
        <f t="shared" si="1"/>
        <v>0</v>
      </c>
      <c r="I25" s="93"/>
      <c r="J25" s="97">
        <v>1.5767012261019313</v>
      </c>
      <c r="K25" s="97">
        <f t="shared" si="2"/>
        <v>1.5767012261019313</v>
      </c>
      <c r="L25" s="97">
        <f t="shared" si="3"/>
        <v>0</v>
      </c>
      <c r="M25" s="93"/>
      <c r="N25" s="97">
        <v>1.7399851951982863</v>
      </c>
      <c r="O25" s="97">
        <f t="shared" si="4"/>
        <v>1.7399851951982863</v>
      </c>
      <c r="P25" s="97">
        <f t="shared" si="5"/>
        <v>0</v>
      </c>
      <c r="Q25" s="93"/>
      <c r="R25" s="97">
        <v>1.422924275976</v>
      </c>
      <c r="S25" s="97">
        <f t="shared" si="6"/>
        <v>1.422924275976</v>
      </c>
      <c r="T25" s="97">
        <f t="shared" si="7"/>
        <v>0</v>
      </c>
      <c r="U25" s="93"/>
      <c r="V25" s="97">
        <v>1.5889027076292</v>
      </c>
      <c r="W25" s="97">
        <f t="shared" si="8"/>
        <v>1.5889027076292</v>
      </c>
      <c r="X25" s="97">
        <f t="shared" si="9"/>
        <v>0</v>
      </c>
      <c r="Y25" s="93"/>
      <c r="Z25" s="97"/>
      <c r="AA25" s="93"/>
      <c r="AB25" s="97"/>
      <c r="AC25" s="93"/>
      <c r="AD25" s="97"/>
      <c r="AE25" s="93"/>
      <c r="AF25" s="98"/>
      <c r="AG25" s="93"/>
      <c r="AH25" s="98"/>
      <c r="AI25" s="93"/>
      <c r="AJ25" s="98"/>
      <c r="AK25" s="93"/>
      <c r="AL25" s="98"/>
      <c r="AM25" s="93"/>
      <c r="AN25" s="98"/>
      <c r="AO25" s="93"/>
      <c r="AP25" s="98"/>
      <c r="AQ25" s="93"/>
      <c r="AR25" s="98"/>
      <c r="AS25" s="93"/>
      <c r="AT25" s="98"/>
    </row>
    <row r="26" spans="1:46" s="92" customFormat="1" ht="12.75">
      <c r="A26" s="92" t="s">
        <v>300</v>
      </c>
      <c r="B26" s="92">
        <v>22</v>
      </c>
      <c r="C26" s="92" t="s">
        <v>365</v>
      </c>
      <c r="D26" s="96">
        <v>0</v>
      </c>
      <c r="E26" s="93"/>
      <c r="F26" s="97">
        <v>4.558139534883721</v>
      </c>
      <c r="G26" s="97">
        <f t="shared" si="0"/>
        <v>4.558139534883721</v>
      </c>
      <c r="H26" s="97">
        <f t="shared" si="1"/>
        <v>0</v>
      </c>
      <c r="I26" s="93"/>
      <c r="J26" s="97">
        <v>1.7721518987341771</v>
      </c>
      <c r="K26" s="97">
        <f t="shared" si="2"/>
        <v>1.7721518987341771</v>
      </c>
      <c r="L26" s="97">
        <f t="shared" si="3"/>
        <v>0</v>
      </c>
      <c r="M26" s="93"/>
      <c r="N26" s="97">
        <v>1.9534883720930232</v>
      </c>
      <c r="O26" s="97">
        <f t="shared" si="4"/>
        <v>1.9534883720930232</v>
      </c>
      <c r="P26" s="97">
        <f t="shared" si="5"/>
        <v>0</v>
      </c>
      <c r="Q26" s="93"/>
      <c r="R26" s="97">
        <v>1.6024096385542166</v>
      </c>
      <c r="S26" s="97">
        <f t="shared" si="6"/>
        <v>1.6024096385542166</v>
      </c>
      <c r="T26" s="97">
        <f t="shared" si="7"/>
        <v>0</v>
      </c>
      <c r="U26" s="93"/>
      <c r="V26" s="97">
        <v>1.811764705882353</v>
      </c>
      <c r="W26" s="97">
        <f t="shared" si="8"/>
        <v>1.811764705882353</v>
      </c>
      <c r="X26" s="97">
        <f t="shared" si="9"/>
        <v>0</v>
      </c>
      <c r="Y26" s="93"/>
      <c r="Z26" s="97"/>
      <c r="AA26" s="93"/>
      <c r="AB26" s="97"/>
      <c r="AC26" s="93"/>
      <c r="AD26" s="97"/>
      <c r="AE26" s="93"/>
      <c r="AF26" s="98"/>
      <c r="AG26" s="93"/>
      <c r="AH26" s="98"/>
      <c r="AI26" s="93"/>
      <c r="AJ26" s="98"/>
      <c r="AK26" s="93"/>
      <c r="AL26" s="98"/>
      <c r="AM26" s="93"/>
      <c r="AN26" s="98"/>
      <c r="AO26" s="93"/>
      <c r="AP26" s="98"/>
      <c r="AQ26" s="93"/>
      <c r="AR26" s="98"/>
      <c r="AS26" s="93"/>
      <c r="AT26" s="98"/>
    </row>
    <row r="27" spans="1:46" s="92" customFormat="1" ht="12.75">
      <c r="A27" s="92" t="s">
        <v>300</v>
      </c>
      <c r="B27" s="92">
        <v>23</v>
      </c>
      <c r="C27" s="92" t="s">
        <v>366</v>
      </c>
      <c r="D27" s="96">
        <v>0.1</v>
      </c>
      <c r="E27" s="93"/>
      <c r="F27" s="97">
        <v>0.63494889815424</v>
      </c>
      <c r="G27" s="97">
        <f t="shared" si="0"/>
        <v>0.63494889815424</v>
      </c>
      <c r="H27" s="97">
        <f t="shared" si="1"/>
        <v>0.063494889815424</v>
      </c>
      <c r="I27" s="93"/>
      <c r="J27" s="97">
        <v>0.23369102162551147</v>
      </c>
      <c r="K27" s="97">
        <f t="shared" si="2"/>
        <v>0.23369102162551147</v>
      </c>
      <c r="L27" s="97">
        <f t="shared" si="3"/>
        <v>0.02336910216255115</v>
      </c>
      <c r="M27" s="93"/>
      <c r="N27" s="97">
        <v>0.22822753392196</v>
      </c>
      <c r="O27" s="97">
        <f t="shared" si="4"/>
        <v>0.22822753392196</v>
      </c>
      <c r="P27" s="97">
        <f t="shared" si="5"/>
        <v>0.022822753392196</v>
      </c>
      <c r="Q27" s="93"/>
      <c r="R27" s="97">
        <v>0.16421001257156356</v>
      </c>
      <c r="S27" s="97">
        <f t="shared" si="6"/>
        <v>0.16421001257156356</v>
      </c>
      <c r="T27" s="97">
        <f t="shared" si="7"/>
        <v>0.016421001257156356</v>
      </c>
      <c r="U27" s="93"/>
      <c r="V27" s="97">
        <v>0.21895213863466628</v>
      </c>
      <c r="W27" s="97">
        <f t="shared" si="8"/>
        <v>0.21895213863466628</v>
      </c>
      <c r="X27" s="97">
        <f t="shared" si="9"/>
        <v>0.021895213863466628</v>
      </c>
      <c r="Y27" s="93"/>
      <c r="Z27" s="97"/>
      <c r="AA27" s="93"/>
      <c r="AB27" s="97"/>
      <c r="AC27" s="93"/>
      <c r="AD27" s="97"/>
      <c r="AE27" s="93"/>
      <c r="AF27" s="98"/>
      <c r="AG27" s="93"/>
      <c r="AH27" s="98"/>
      <c r="AI27" s="93"/>
      <c r="AJ27" s="98"/>
      <c r="AK27" s="93"/>
      <c r="AL27" s="98"/>
      <c r="AM27" s="93"/>
      <c r="AN27" s="98"/>
      <c r="AO27" s="93"/>
      <c r="AP27" s="98"/>
      <c r="AQ27" s="93"/>
      <c r="AR27" s="98"/>
      <c r="AS27" s="93"/>
      <c r="AT27" s="98"/>
    </row>
    <row r="28" spans="1:46" s="92" customFormat="1" ht="12.75">
      <c r="A28" s="92" t="s">
        <v>300</v>
      </c>
      <c r="B28" s="92">
        <v>24</v>
      </c>
      <c r="C28" s="92" t="s">
        <v>367</v>
      </c>
      <c r="D28" s="96">
        <v>0.1</v>
      </c>
      <c r="E28" s="93"/>
      <c r="F28" s="97">
        <v>0.5602490277831521</v>
      </c>
      <c r="G28" s="97">
        <f t="shared" si="0"/>
        <v>0.5602490277831521</v>
      </c>
      <c r="H28" s="97">
        <f t="shared" si="1"/>
        <v>0.05602490277831521</v>
      </c>
      <c r="I28" s="93"/>
      <c r="J28" s="97">
        <v>0.2039485279640827</v>
      </c>
      <c r="K28" s="97">
        <f t="shared" si="2"/>
        <v>0.2039485279640827</v>
      </c>
      <c r="L28" s="97">
        <f t="shared" si="3"/>
        <v>0.02039485279640827</v>
      </c>
      <c r="M28" s="93"/>
      <c r="N28" s="97">
        <v>0.20245990912432</v>
      </c>
      <c r="O28" s="97">
        <f t="shared" si="4"/>
        <v>0.20245990912432</v>
      </c>
      <c r="P28" s="97">
        <f t="shared" si="5"/>
        <v>0.020245990912432</v>
      </c>
      <c r="Q28" s="93"/>
      <c r="R28" s="97">
        <v>0.17184768757489213</v>
      </c>
      <c r="S28" s="97">
        <f t="shared" si="6"/>
        <v>0.17184768757489213</v>
      </c>
      <c r="T28" s="97">
        <f t="shared" si="7"/>
        <v>0.017184768757489213</v>
      </c>
      <c r="U28" s="93"/>
      <c r="V28" s="97">
        <v>0.2228619982531424</v>
      </c>
      <c r="W28" s="97">
        <f t="shared" si="8"/>
        <v>0.2228619982531424</v>
      </c>
      <c r="X28" s="97">
        <f t="shared" si="9"/>
        <v>0.02228619982531424</v>
      </c>
      <c r="Y28" s="93"/>
      <c r="Z28" s="97"/>
      <c r="AA28" s="93"/>
      <c r="AB28" s="97"/>
      <c r="AC28" s="93"/>
      <c r="AD28" s="97"/>
      <c r="AE28" s="93"/>
      <c r="AF28" s="98"/>
      <c r="AG28" s="93"/>
      <c r="AH28" s="98"/>
      <c r="AI28" s="93"/>
      <c r="AJ28" s="98"/>
      <c r="AK28" s="93"/>
      <c r="AL28" s="98"/>
      <c r="AM28" s="93"/>
      <c r="AN28" s="98"/>
      <c r="AO28" s="93"/>
      <c r="AP28" s="98"/>
      <c r="AQ28" s="93"/>
      <c r="AR28" s="98"/>
      <c r="AS28" s="93"/>
      <c r="AT28" s="98"/>
    </row>
    <row r="29" spans="1:46" s="92" customFormat="1" ht="12.75">
      <c r="A29" s="92" t="s">
        <v>300</v>
      </c>
      <c r="B29" s="92">
        <v>25</v>
      </c>
      <c r="C29" s="92" t="s">
        <v>368</v>
      </c>
      <c r="D29" s="96">
        <v>0.1</v>
      </c>
      <c r="E29" s="93"/>
      <c r="F29" s="97">
        <v>0.11951979259374</v>
      </c>
      <c r="G29" s="97">
        <f t="shared" si="0"/>
        <v>0.11951979259374</v>
      </c>
      <c r="H29" s="97">
        <f t="shared" si="1"/>
        <v>0.011951979259374001</v>
      </c>
      <c r="I29" s="93"/>
      <c r="J29" s="97">
        <v>0.031017171961204248</v>
      </c>
      <c r="K29" s="97">
        <f t="shared" si="2"/>
        <v>0.031017171961204248</v>
      </c>
      <c r="L29" s="97">
        <f t="shared" si="3"/>
        <v>0.003101717196120425</v>
      </c>
      <c r="M29" s="93"/>
      <c r="N29" s="97">
        <v>0.03018493190580761</v>
      </c>
      <c r="O29" s="97">
        <f t="shared" si="4"/>
        <v>0.03018493190580761</v>
      </c>
      <c r="P29" s="97">
        <f t="shared" si="5"/>
        <v>0.0030184931905807614</v>
      </c>
      <c r="Q29" s="93"/>
      <c r="R29" s="97">
        <v>0.028259397512315588</v>
      </c>
      <c r="S29" s="97">
        <f t="shared" si="6"/>
        <v>0.028259397512315588</v>
      </c>
      <c r="T29" s="97">
        <f t="shared" si="7"/>
        <v>0.002825939751231559</v>
      </c>
      <c r="U29" s="93"/>
      <c r="V29" s="97">
        <v>0.050828175040190375</v>
      </c>
      <c r="W29" s="97">
        <f t="shared" si="8"/>
        <v>0.050828175040190375</v>
      </c>
      <c r="X29" s="97">
        <f t="shared" si="9"/>
        <v>0.005082817504019038</v>
      </c>
      <c r="Y29" s="93"/>
      <c r="Z29" s="97"/>
      <c r="AA29" s="93"/>
      <c r="AB29" s="97"/>
      <c r="AC29" s="93"/>
      <c r="AD29" s="97"/>
      <c r="AE29" s="93"/>
      <c r="AF29" s="98"/>
      <c r="AG29" s="93"/>
      <c r="AH29" s="98"/>
      <c r="AI29" s="93"/>
      <c r="AJ29" s="98"/>
      <c r="AK29" s="93"/>
      <c r="AL29" s="98"/>
      <c r="AM29" s="93"/>
      <c r="AN29" s="98"/>
      <c r="AO29" s="93"/>
      <c r="AP29" s="98"/>
      <c r="AQ29" s="93"/>
      <c r="AR29" s="98"/>
      <c r="AS29" s="93"/>
      <c r="AT29" s="98"/>
    </row>
    <row r="30" spans="1:46" s="92" customFormat="1" ht="12.75">
      <c r="A30" s="92" t="s">
        <v>300</v>
      </c>
      <c r="B30" s="92">
        <v>26</v>
      </c>
      <c r="C30" s="92" t="s">
        <v>369</v>
      </c>
      <c r="D30" s="96">
        <v>0.1</v>
      </c>
      <c r="E30" s="93"/>
      <c r="F30" s="97">
        <v>0.6722988333397825</v>
      </c>
      <c r="G30" s="97">
        <f t="shared" si="0"/>
        <v>0.6722988333397825</v>
      </c>
      <c r="H30" s="97">
        <f t="shared" si="1"/>
        <v>0.06722988333397825</v>
      </c>
      <c r="I30" s="93"/>
      <c r="J30" s="97">
        <v>0.2039485279640827</v>
      </c>
      <c r="K30" s="97">
        <f t="shared" si="2"/>
        <v>0.2039485279640827</v>
      </c>
      <c r="L30" s="97">
        <f t="shared" si="3"/>
        <v>0.02039485279640827</v>
      </c>
      <c r="M30" s="93"/>
      <c r="N30" s="97">
        <v>0.2539951587196</v>
      </c>
      <c r="O30" s="97">
        <f t="shared" si="4"/>
        <v>0.2539951587196</v>
      </c>
      <c r="P30" s="97">
        <f t="shared" si="5"/>
        <v>0.02539951587196</v>
      </c>
      <c r="Q30" s="93"/>
      <c r="R30" s="97">
        <v>0.17948536257822</v>
      </c>
      <c r="S30" s="97">
        <f t="shared" si="6"/>
        <v>0.17948536257822</v>
      </c>
      <c r="T30" s="97">
        <f t="shared" si="7"/>
        <v>0.017948536257822</v>
      </c>
      <c r="U30" s="93"/>
      <c r="V30" s="97">
        <v>0.246321155964</v>
      </c>
      <c r="W30" s="97">
        <f t="shared" si="8"/>
        <v>0.246321155964</v>
      </c>
      <c r="X30" s="97">
        <f t="shared" si="9"/>
        <v>0.024632115596400002</v>
      </c>
      <c r="Y30" s="93"/>
      <c r="Z30" s="97"/>
      <c r="AA30" s="93"/>
      <c r="AB30" s="97"/>
      <c r="AC30" s="93"/>
      <c r="AD30" s="97"/>
      <c r="AE30" s="93"/>
      <c r="AF30" s="98"/>
      <c r="AG30" s="93"/>
      <c r="AH30" s="98"/>
      <c r="AI30" s="93"/>
      <c r="AJ30" s="98"/>
      <c r="AK30" s="93"/>
      <c r="AL30" s="98"/>
      <c r="AM30" s="93"/>
      <c r="AN30" s="98"/>
      <c r="AO30" s="93"/>
      <c r="AP30" s="98"/>
      <c r="AQ30" s="93"/>
      <c r="AR30" s="98"/>
      <c r="AS30" s="93"/>
      <c r="AT30" s="98"/>
    </row>
    <row r="31" spans="1:46" s="92" customFormat="1" ht="12.75">
      <c r="A31" s="92" t="s">
        <v>300</v>
      </c>
      <c r="B31" s="92">
        <v>27</v>
      </c>
      <c r="C31" s="92" t="s">
        <v>370</v>
      </c>
      <c r="D31" s="96">
        <v>0</v>
      </c>
      <c r="E31" s="93"/>
      <c r="F31" s="97">
        <v>4.361820657431412</v>
      </c>
      <c r="G31" s="97">
        <f t="shared" si="0"/>
        <v>4.361820657431412</v>
      </c>
      <c r="H31" s="97">
        <f t="shared" si="1"/>
        <v>0</v>
      </c>
      <c r="I31" s="93"/>
      <c r="J31" s="97">
        <v>1.63119221883955</v>
      </c>
      <c r="K31" s="97">
        <f t="shared" si="2"/>
        <v>1.63119221883955</v>
      </c>
      <c r="L31" s="97">
        <f t="shared" si="3"/>
        <v>0</v>
      </c>
      <c r="M31" s="93"/>
      <c r="N31" s="97">
        <v>1.889783629119</v>
      </c>
      <c r="O31" s="97">
        <f t="shared" si="4"/>
        <v>1.889783629119</v>
      </c>
      <c r="P31" s="97">
        <f t="shared" si="5"/>
        <v>0</v>
      </c>
      <c r="Q31" s="93"/>
      <c r="R31" s="97">
        <v>1.4802939253051766</v>
      </c>
      <c r="S31" s="97">
        <f t="shared" si="6"/>
        <v>1.4802939253051766</v>
      </c>
      <c r="T31" s="97">
        <f t="shared" si="7"/>
        <v>0</v>
      </c>
      <c r="U31" s="93"/>
      <c r="V31" s="97">
        <v>1.89633064975506</v>
      </c>
      <c r="W31" s="97">
        <f t="shared" si="8"/>
        <v>1.89633064975506</v>
      </c>
      <c r="X31" s="97">
        <f t="shared" si="9"/>
        <v>0</v>
      </c>
      <c r="Y31" s="93"/>
      <c r="Z31" s="97"/>
      <c r="AA31" s="93"/>
      <c r="AB31" s="97"/>
      <c r="AC31" s="93"/>
      <c r="AD31" s="97"/>
      <c r="AE31" s="93"/>
      <c r="AF31" s="98"/>
      <c r="AG31" s="93"/>
      <c r="AH31" s="98"/>
      <c r="AI31" s="93"/>
      <c r="AJ31" s="98"/>
      <c r="AK31" s="93"/>
      <c r="AL31" s="98"/>
      <c r="AM31" s="93"/>
      <c r="AN31" s="98"/>
      <c r="AO31" s="93"/>
      <c r="AP31" s="98"/>
      <c r="AQ31" s="93"/>
      <c r="AR31" s="98"/>
      <c r="AS31" s="93"/>
      <c r="AT31" s="98"/>
    </row>
    <row r="32" spans="1:46" s="92" customFormat="1" ht="12.75">
      <c r="A32" s="92" t="s">
        <v>300</v>
      </c>
      <c r="B32" s="92">
        <v>28</v>
      </c>
      <c r="C32" s="92" t="s">
        <v>371</v>
      </c>
      <c r="D32" s="96">
        <v>0</v>
      </c>
      <c r="E32" s="93"/>
      <c r="F32" s="97">
        <v>6.348837209302325</v>
      </c>
      <c r="G32" s="97">
        <f t="shared" si="0"/>
        <v>6.348837209302325</v>
      </c>
      <c r="H32" s="97">
        <f t="shared" si="1"/>
        <v>0</v>
      </c>
      <c r="I32" s="93"/>
      <c r="J32" s="97">
        <v>2.3037974683544302</v>
      </c>
      <c r="K32" s="97">
        <f t="shared" si="2"/>
        <v>2.3037974683544302</v>
      </c>
      <c r="L32" s="97">
        <f t="shared" si="3"/>
        <v>0</v>
      </c>
      <c r="M32" s="93"/>
      <c r="N32" s="97">
        <v>2.6046511627907</v>
      </c>
      <c r="O32" s="97">
        <f t="shared" si="4"/>
        <v>2.6046511627907</v>
      </c>
      <c r="P32" s="97">
        <f t="shared" si="5"/>
        <v>0</v>
      </c>
      <c r="Q32" s="93"/>
      <c r="R32" s="97">
        <v>2.0240963855421685</v>
      </c>
      <c r="S32" s="97">
        <f t="shared" si="6"/>
        <v>2.0240963855421685</v>
      </c>
      <c r="T32" s="97">
        <f t="shared" si="7"/>
        <v>0</v>
      </c>
      <c r="U32" s="93"/>
      <c r="V32" s="97">
        <v>2.635294117647059</v>
      </c>
      <c r="W32" s="97">
        <f t="shared" si="8"/>
        <v>2.635294117647059</v>
      </c>
      <c r="X32" s="97">
        <f t="shared" si="9"/>
        <v>0</v>
      </c>
      <c r="Y32" s="93"/>
      <c r="Z32" s="97"/>
      <c r="AA32" s="93"/>
      <c r="AB32" s="97"/>
      <c r="AC32" s="93"/>
      <c r="AD32" s="97"/>
      <c r="AE32" s="93"/>
      <c r="AF32" s="98"/>
      <c r="AG32" s="93"/>
      <c r="AH32" s="98"/>
      <c r="AI32" s="93"/>
      <c r="AJ32" s="98"/>
      <c r="AK32" s="93"/>
      <c r="AL32" s="98"/>
      <c r="AM32" s="93"/>
      <c r="AN32" s="98"/>
      <c r="AO32" s="93"/>
      <c r="AP32" s="98"/>
      <c r="AQ32" s="93"/>
      <c r="AR32" s="98"/>
      <c r="AS32" s="93"/>
      <c r="AT32" s="98"/>
    </row>
    <row r="33" spans="1:46" s="92" customFormat="1" ht="12.75">
      <c r="A33" s="92" t="s">
        <v>300</v>
      </c>
      <c r="B33" s="92">
        <v>29</v>
      </c>
      <c r="C33" s="92" t="s">
        <v>372</v>
      </c>
      <c r="D33" s="96">
        <v>0.01</v>
      </c>
      <c r="E33" s="93"/>
      <c r="F33" s="97">
        <v>2.950644879657935</v>
      </c>
      <c r="G33" s="97">
        <f t="shared" si="0"/>
        <v>2.950644879657935</v>
      </c>
      <c r="H33" s="97">
        <f t="shared" si="1"/>
        <v>0.02950644879657935</v>
      </c>
      <c r="I33" s="93"/>
      <c r="J33" s="97">
        <v>0.849785533183678</v>
      </c>
      <c r="K33" s="97">
        <f t="shared" si="2"/>
        <v>0.849785533183678</v>
      </c>
      <c r="L33" s="97">
        <f t="shared" si="3"/>
        <v>0.00849785533183678</v>
      </c>
      <c r="M33" s="93"/>
      <c r="N33" s="97">
        <v>0.8834614216333935</v>
      </c>
      <c r="O33" s="97">
        <f t="shared" si="4"/>
        <v>0.8834614216333935</v>
      </c>
      <c r="P33" s="97">
        <f t="shared" si="5"/>
        <v>0.008834614216333934</v>
      </c>
      <c r="Q33" s="93"/>
      <c r="R33" s="97">
        <v>0.9165210003994245</v>
      </c>
      <c r="S33" s="97">
        <f t="shared" si="6"/>
        <v>0.9165210003994245</v>
      </c>
      <c r="T33" s="97">
        <f t="shared" si="7"/>
        <v>0.009165210003994246</v>
      </c>
      <c r="U33" s="93"/>
      <c r="V33" s="97">
        <v>1.0556620969885693</v>
      </c>
      <c r="W33" s="97">
        <f t="shared" si="8"/>
        <v>1.0556620969885693</v>
      </c>
      <c r="X33" s="97">
        <f t="shared" si="9"/>
        <v>0.010556620969885694</v>
      </c>
      <c r="Y33" s="93"/>
      <c r="Z33" s="97"/>
      <c r="AA33" s="93"/>
      <c r="AB33" s="97"/>
      <c r="AC33" s="93"/>
      <c r="AD33" s="97"/>
      <c r="AE33" s="93"/>
      <c r="AF33" s="98"/>
      <c r="AG33" s="93"/>
      <c r="AH33" s="98"/>
      <c r="AI33" s="93"/>
      <c r="AJ33" s="98"/>
      <c r="AK33" s="93"/>
      <c r="AL33" s="98"/>
      <c r="AM33" s="93"/>
      <c r="AN33" s="98"/>
      <c r="AO33" s="93"/>
      <c r="AP33" s="98"/>
      <c r="AQ33" s="93"/>
      <c r="AR33" s="98"/>
      <c r="AS33" s="93"/>
      <c r="AT33" s="98"/>
    </row>
    <row r="34" spans="1:46" s="92" customFormat="1" ht="12.75">
      <c r="A34" s="92" t="s">
        <v>300</v>
      </c>
      <c r="B34" s="92">
        <v>30</v>
      </c>
      <c r="C34" s="92" t="s">
        <v>373</v>
      </c>
      <c r="D34" s="96">
        <v>0.01</v>
      </c>
      <c r="E34" s="93"/>
      <c r="F34" s="97">
        <v>0.25771455278025</v>
      </c>
      <c r="G34" s="97">
        <f t="shared" si="0"/>
        <v>0.25771455278025</v>
      </c>
      <c r="H34" s="97">
        <f t="shared" si="1"/>
        <v>0.0025771455278025004</v>
      </c>
      <c r="I34" s="93"/>
      <c r="J34" s="97">
        <v>0.06798284265469423</v>
      </c>
      <c r="K34" s="97">
        <f t="shared" si="2"/>
        <v>0.06798284265469423</v>
      </c>
      <c r="L34" s="97">
        <f t="shared" si="3"/>
        <v>0.0006798284265469423</v>
      </c>
      <c r="M34" s="93"/>
      <c r="N34" s="97">
        <v>0.077302874392922</v>
      </c>
      <c r="O34" s="97">
        <f t="shared" si="4"/>
        <v>0.077302874392922</v>
      </c>
      <c r="P34" s="97">
        <f t="shared" si="5"/>
        <v>0.0007730287439292199</v>
      </c>
      <c r="Q34" s="93"/>
      <c r="R34" s="97">
        <v>0.09165210003994245</v>
      </c>
      <c r="S34" s="97">
        <f t="shared" si="6"/>
        <v>0.09165210003994245</v>
      </c>
      <c r="T34" s="97">
        <f t="shared" si="7"/>
        <v>0.0009165210003994245</v>
      </c>
      <c r="U34" s="93"/>
      <c r="V34" s="97">
        <v>0.10165635008038</v>
      </c>
      <c r="W34" s="97">
        <f t="shared" si="8"/>
        <v>0.10165635008038</v>
      </c>
      <c r="X34" s="97">
        <f t="shared" si="9"/>
        <v>0.0010165635008038</v>
      </c>
      <c r="Y34" s="93"/>
      <c r="Z34" s="97"/>
      <c r="AA34" s="93"/>
      <c r="AB34" s="97"/>
      <c r="AC34" s="93"/>
      <c r="AD34" s="97"/>
      <c r="AE34" s="93"/>
      <c r="AF34" s="98"/>
      <c r="AG34" s="93"/>
      <c r="AH34" s="98"/>
      <c r="AI34" s="93"/>
      <c r="AJ34" s="98"/>
      <c r="AK34" s="93"/>
      <c r="AL34" s="98"/>
      <c r="AM34" s="93"/>
      <c r="AN34" s="98"/>
      <c r="AO34" s="93"/>
      <c r="AP34" s="98"/>
      <c r="AQ34" s="93"/>
      <c r="AR34" s="98"/>
      <c r="AS34" s="93"/>
      <c r="AT34" s="98"/>
    </row>
    <row r="35" spans="1:46" s="92" customFormat="1" ht="12.75">
      <c r="A35" s="92" t="s">
        <v>300</v>
      </c>
      <c r="B35" s="92">
        <v>31</v>
      </c>
      <c r="C35" s="92" t="s">
        <v>374</v>
      </c>
      <c r="D35" s="96">
        <v>0</v>
      </c>
      <c r="E35" s="93"/>
      <c r="F35" s="97">
        <v>2.3265242884920476</v>
      </c>
      <c r="G35" s="97">
        <f t="shared" si="0"/>
        <v>2.3265242884920476</v>
      </c>
      <c r="H35" s="97">
        <f t="shared" si="1"/>
        <v>0</v>
      </c>
      <c r="I35" s="93"/>
      <c r="J35" s="97">
        <v>0.60628225707302</v>
      </c>
      <c r="K35" s="97">
        <f t="shared" si="2"/>
        <v>0.60628225707302</v>
      </c>
      <c r="L35" s="97">
        <f t="shared" si="3"/>
        <v>0</v>
      </c>
      <c r="M35" s="93"/>
      <c r="N35" s="97">
        <v>0.5857473318806613</v>
      </c>
      <c r="O35" s="97">
        <f t="shared" si="4"/>
        <v>0.5857473318806613</v>
      </c>
      <c r="P35" s="97">
        <f t="shared" si="5"/>
        <v>0</v>
      </c>
      <c r="Q35" s="93"/>
      <c r="R35" s="97">
        <v>0.59423653811485</v>
      </c>
      <c r="S35" s="97">
        <f t="shared" si="6"/>
        <v>0.59423653811485</v>
      </c>
      <c r="T35" s="97">
        <f t="shared" si="7"/>
        <v>0</v>
      </c>
      <c r="U35" s="93"/>
      <c r="V35" s="97">
        <v>0.654446258813403</v>
      </c>
      <c r="W35" s="97">
        <f t="shared" si="8"/>
        <v>0.654446258813403</v>
      </c>
      <c r="X35" s="97">
        <f t="shared" si="9"/>
        <v>0</v>
      </c>
      <c r="Y35" s="93"/>
      <c r="Z35" s="97"/>
      <c r="AA35" s="93"/>
      <c r="AB35" s="97"/>
      <c r="AC35" s="93"/>
      <c r="AD35" s="97"/>
      <c r="AE35" s="93"/>
      <c r="AF35" s="98"/>
      <c r="AG35" s="93"/>
      <c r="AH35" s="98"/>
      <c r="AI35" s="93"/>
      <c r="AJ35" s="98"/>
      <c r="AK35" s="93"/>
      <c r="AL35" s="98"/>
      <c r="AM35" s="93"/>
      <c r="AN35" s="98"/>
      <c r="AO35" s="93"/>
      <c r="AP35" s="98"/>
      <c r="AQ35" s="93"/>
      <c r="AR35" s="98"/>
      <c r="AS35" s="93"/>
      <c r="AT35" s="98"/>
    </row>
    <row r="36" spans="1:46" s="92" customFormat="1" ht="12.75">
      <c r="A36" s="92" t="s">
        <v>300</v>
      </c>
      <c r="B36" s="92">
        <v>32</v>
      </c>
      <c r="C36" s="92" t="s">
        <v>375</v>
      </c>
      <c r="D36" s="96">
        <v>0</v>
      </c>
      <c r="E36" s="93"/>
      <c r="F36" s="97">
        <v>5.534883720930233</v>
      </c>
      <c r="G36" s="97">
        <f t="shared" si="0"/>
        <v>5.534883720930233</v>
      </c>
      <c r="H36" s="97">
        <f t="shared" si="1"/>
        <v>0</v>
      </c>
      <c r="I36" s="93"/>
      <c r="J36" s="97">
        <v>1.5240506329114</v>
      </c>
      <c r="K36" s="97">
        <f t="shared" si="2"/>
        <v>1.5240506329114</v>
      </c>
      <c r="L36" s="97">
        <f t="shared" si="3"/>
        <v>0</v>
      </c>
      <c r="M36" s="93"/>
      <c r="N36" s="97">
        <v>1.5465116279069766</v>
      </c>
      <c r="O36" s="97">
        <f t="shared" si="4"/>
        <v>1.5465116279069766</v>
      </c>
      <c r="P36" s="97">
        <f t="shared" si="5"/>
        <v>0</v>
      </c>
      <c r="Q36" s="93"/>
      <c r="R36" s="97">
        <v>1.6024096385542166</v>
      </c>
      <c r="S36" s="97">
        <f t="shared" si="6"/>
        <v>1.6024096385542166</v>
      </c>
      <c r="T36" s="97">
        <f t="shared" si="7"/>
        <v>0</v>
      </c>
      <c r="U36" s="93"/>
      <c r="V36" s="97">
        <v>1.811764705882353</v>
      </c>
      <c r="W36" s="97">
        <f t="shared" si="8"/>
        <v>1.811764705882353</v>
      </c>
      <c r="X36" s="97">
        <f t="shared" si="9"/>
        <v>0</v>
      </c>
      <c r="Y36" s="93"/>
      <c r="Z36" s="97"/>
      <c r="AA36" s="93"/>
      <c r="AB36" s="97"/>
      <c r="AC36" s="93"/>
      <c r="AD36" s="97"/>
      <c r="AE36" s="93"/>
      <c r="AF36" s="98"/>
      <c r="AG36" s="93"/>
      <c r="AH36" s="98"/>
      <c r="AI36" s="93"/>
      <c r="AJ36" s="98"/>
      <c r="AK36" s="93"/>
      <c r="AL36" s="98"/>
      <c r="AM36" s="93"/>
      <c r="AN36" s="98"/>
      <c r="AO36" s="93"/>
      <c r="AP36" s="98"/>
      <c r="AQ36" s="93"/>
      <c r="AR36" s="98"/>
      <c r="AS36" s="93"/>
      <c r="AT36" s="98"/>
    </row>
    <row r="37" spans="1:46" s="92" customFormat="1" ht="12.75">
      <c r="A37" s="92" t="s">
        <v>300</v>
      </c>
      <c r="B37" s="92">
        <v>33</v>
      </c>
      <c r="C37" s="92" t="s">
        <v>376</v>
      </c>
      <c r="D37" s="96">
        <v>0.001</v>
      </c>
      <c r="E37" s="93"/>
      <c r="F37" s="97">
        <v>2.6046511627907</v>
      </c>
      <c r="G37" s="97">
        <f t="shared" si="0"/>
        <v>2.6046511627907</v>
      </c>
      <c r="H37" s="97">
        <f t="shared" si="1"/>
        <v>0.0026046511627907</v>
      </c>
      <c r="I37" s="93"/>
      <c r="J37" s="97">
        <v>0.60253164556962</v>
      </c>
      <c r="K37" s="97">
        <f t="shared" si="2"/>
        <v>0.60253164556962</v>
      </c>
      <c r="L37" s="97">
        <f t="shared" si="3"/>
        <v>0.00060253164556962</v>
      </c>
      <c r="M37" s="93"/>
      <c r="N37" s="97">
        <v>0.586046511627907</v>
      </c>
      <c r="O37" s="97">
        <f t="shared" si="4"/>
        <v>0.586046511627907</v>
      </c>
      <c r="P37" s="97">
        <f t="shared" si="5"/>
        <v>0.000586046511627907</v>
      </c>
      <c r="Q37" s="93"/>
      <c r="R37" s="97">
        <v>0.69156626506024</v>
      </c>
      <c r="S37" s="97">
        <f t="shared" si="6"/>
        <v>0.69156626506024</v>
      </c>
      <c r="T37" s="97">
        <f t="shared" si="7"/>
        <v>0.00069156626506024</v>
      </c>
      <c r="U37" s="93"/>
      <c r="V37" s="97">
        <v>0.5929411764705882</v>
      </c>
      <c r="W37" s="97">
        <f t="shared" si="8"/>
        <v>0.5929411764705882</v>
      </c>
      <c r="X37" s="97">
        <f t="shared" si="9"/>
        <v>0.0005929411764705882</v>
      </c>
      <c r="Y37" s="93"/>
      <c r="Z37" s="97"/>
      <c r="AA37" s="93"/>
      <c r="AB37" s="97"/>
      <c r="AC37" s="93"/>
      <c r="AD37" s="97"/>
      <c r="AE37" s="93"/>
      <c r="AF37" s="98"/>
      <c r="AG37" s="93"/>
      <c r="AH37" s="98"/>
      <c r="AI37" s="93"/>
      <c r="AJ37" s="98"/>
      <c r="AK37" s="93"/>
      <c r="AL37" s="98"/>
      <c r="AM37" s="93"/>
      <c r="AN37" s="98"/>
      <c r="AO37" s="93"/>
      <c r="AP37" s="98"/>
      <c r="AQ37" s="93"/>
      <c r="AR37" s="98"/>
      <c r="AS37" s="93"/>
      <c r="AT37" s="98"/>
    </row>
    <row r="38" spans="1:46" s="92" customFormat="1" ht="12.75">
      <c r="A38" s="92" t="s">
        <v>300</v>
      </c>
      <c r="B38" s="92">
        <v>34</v>
      </c>
      <c r="C38" s="92" t="s">
        <v>377</v>
      </c>
      <c r="D38" s="96"/>
      <c r="E38" s="93"/>
      <c r="F38" s="97">
        <v>23.66976744186046</v>
      </c>
      <c r="G38" s="97">
        <f>SUM(G37,G36,G32,G26,G22,G19,G18,G15,G10,G7)</f>
        <v>23.669767441860472</v>
      </c>
      <c r="H38" s="97"/>
      <c r="I38" s="93"/>
      <c r="J38" s="97">
        <v>12.989873417721517</v>
      </c>
      <c r="K38" s="97">
        <f>SUM(K37,K36,K32,K26,K22,K19,K18,K15,K10,K7)</f>
        <v>12.989873417721526</v>
      </c>
      <c r="L38" s="97"/>
      <c r="M38" s="93"/>
      <c r="N38" s="97">
        <v>9.580232558139535</v>
      </c>
      <c r="O38" s="97">
        <f>SUM(O37,O36,O32,O26,O22,O19,O18,O15,O10,O7)</f>
        <v>9.58023255813953</v>
      </c>
      <c r="P38" s="97"/>
      <c r="Q38" s="93"/>
      <c r="R38" s="97">
        <v>7.6966265060241</v>
      </c>
      <c r="S38" s="97">
        <f>SUM(S37,S36,S32,S26,S22,S19,S18,S15,S10,S7)</f>
        <v>7.696626506024095</v>
      </c>
      <c r="T38" s="97"/>
      <c r="U38" s="93"/>
      <c r="V38" s="97">
        <v>8.599294117647059</v>
      </c>
      <c r="W38" s="97">
        <f>SUM(W37,W36,W32,W26,W22,W19,W18,W15,W10,W7)</f>
        <v>8.599294117647059</v>
      </c>
      <c r="X38" s="97"/>
      <c r="Y38" s="93"/>
      <c r="Z38" s="97"/>
      <c r="AA38" s="93"/>
      <c r="AB38" s="97"/>
      <c r="AC38" s="93"/>
      <c r="AD38" s="97"/>
      <c r="AE38" s="93"/>
      <c r="AF38" s="98"/>
      <c r="AG38" s="93"/>
      <c r="AH38" s="98"/>
      <c r="AI38" s="93"/>
      <c r="AJ38" s="98"/>
      <c r="AK38" s="93"/>
      <c r="AL38" s="98"/>
      <c r="AM38" s="93"/>
      <c r="AN38" s="98"/>
      <c r="AO38" s="93"/>
      <c r="AP38" s="98"/>
      <c r="AQ38" s="93"/>
      <c r="AR38" s="98"/>
      <c r="AS38" s="93"/>
      <c r="AT38" s="98"/>
    </row>
    <row r="39" spans="1:46" s="92" customFormat="1" ht="12.75">
      <c r="A39" s="92" t="s">
        <v>300</v>
      </c>
      <c r="B39" s="92">
        <v>35</v>
      </c>
      <c r="C39" s="92" t="s">
        <v>27</v>
      </c>
      <c r="D39" s="96"/>
      <c r="E39" s="94">
        <f>(F39-H39)*2/F39*100</f>
        <v>-1.2370369625963587E-13</v>
      </c>
      <c r="F39" s="97">
        <v>0.4487428662984174</v>
      </c>
      <c r="G39" s="97"/>
      <c r="H39" s="97">
        <f>SUM(H5:H37)</f>
        <v>0.4487428662984177</v>
      </c>
      <c r="I39" s="94">
        <f>(J39-L39)*2/J39*100</f>
        <v>2.016399206122836</v>
      </c>
      <c r="J39" s="97">
        <v>0.162253302462263</v>
      </c>
      <c r="K39" s="97"/>
      <c r="L39" s="97">
        <f>SUM(L5:L37)</f>
        <v>0.16061746531088442</v>
      </c>
      <c r="M39" s="94">
        <f>(N39-P39)*2/N39*100</f>
        <v>1.5011935089310562</v>
      </c>
      <c r="N39" s="97">
        <v>0.169195481600736</v>
      </c>
      <c r="O39" s="97"/>
      <c r="P39" s="97">
        <f>SUM(P5:P37)</f>
        <v>0.16792550580713855</v>
      </c>
      <c r="Q39" s="94">
        <f>(R39-T39)*2/R39*100</f>
        <v>6.209624595034889</v>
      </c>
      <c r="R39" s="97">
        <v>0.1475968452476762</v>
      </c>
      <c r="S39" s="97"/>
      <c r="T39" s="97">
        <f>SUM(T5:T37)</f>
        <v>0.14301424024567855</v>
      </c>
      <c r="U39" s="94">
        <f>(V39-X39)*2/V39*100</f>
        <v>4.583492717329776</v>
      </c>
      <c r="V39" s="97">
        <v>0.18340158255167788</v>
      </c>
      <c r="W39" s="97"/>
      <c r="X39" s="97">
        <f>SUM(X5:X37)</f>
        <v>0.17919848346181602</v>
      </c>
      <c r="Y39" s="93"/>
      <c r="Z39" s="97"/>
      <c r="AA39" s="93"/>
      <c r="AB39" s="97"/>
      <c r="AC39" s="93"/>
      <c r="AD39" s="97"/>
      <c r="AE39" s="93"/>
      <c r="AF39" s="98"/>
      <c r="AG39" s="93"/>
      <c r="AH39" s="98"/>
      <c r="AI39" s="93"/>
      <c r="AJ39" s="98"/>
      <c r="AK39" s="93"/>
      <c r="AL39" s="98"/>
      <c r="AM39" s="93"/>
      <c r="AN39" s="98"/>
      <c r="AO39" s="93"/>
      <c r="AP39" s="98"/>
      <c r="AQ39" s="93"/>
      <c r="AR39" s="98"/>
      <c r="AS39" s="93"/>
      <c r="AT39" s="98"/>
    </row>
  </sheetData>
  <printOptions headings="1" horizontalCentered="1"/>
  <pageMargins left="0.25" right="0.25" top="0.5" bottom="0.5" header="0.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T39"/>
  <sheetViews>
    <sheetView workbookViewId="0" topLeftCell="C1">
      <pane ySplit="1320" topLeftCell="BM1" activePane="bottomLeft" state="split"/>
      <selection pane="topLeft" activeCell="B2" sqref="B2"/>
      <selection pane="bottomLeft" activeCell="B2" sqref="B2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13.8515625" style="0" customWidth="1"/>
    <col min="4" max="4" width="7.00390625" style="95" customWidth="1"/>
    <col min="5" max="5" width="3.57421875" style="0" customWidth="1"/>
    <col min="7" max="7" width="7.7109375" style="69" customWidth="1"/>
    <col min="8" max="8" width="8.28125" style="69" customWidth="1"/>
    <col min="9" max="9" width="3.57421875" style="0" customWidth="1"/>
    <col min="10" max="10" width="7.140625" style="0" bestFit="1" customWidth="1"/>
    <col min="11" max="11" width="7.7109375" style="69" customWidth="1"/>
    <col min="12" max="12" width="8.28125" style="69" customWidth="1"/>
    <col min="13" max="13" width="3.8515625" style="0" customWidth="1"/>
    <col min="15" max="15" width="7.7109375" style="69" customWidth="1"/>
    <col min="16" max="16" width="8.28125" style="69" customWidth="1"/>
    <col min="17" max="17" width="3.7109375" style="0" customWidth="1"/>
    <col min="19" max="19" width="7.7109375" style="69" customWidth="1"/>
    <col min="20" max="20" width="8.28125" style="69" customWidth="1"/>
    <col min="21" max="21" width="3.421875" style="0" customWidth="1"/>
    <col min="22" max="22" width="7.140625" style="0" bestFit="1" customWidth="1"/>
    <col min="23" max="23" width="7.7109375" style="69" customWidth="1"/>
    <col min="24" max="24" width="8.28125" style="69" customWidth="1"/>
  </cols>
  <sheetData>
    <row r="1" ht="12.75">
      <c r="C1" s="6" t="s">
        <v>303</v>
      </c>
    </row>
    <row r="2" spans="5:24" ht="12.75">
      <c r="E2" s="133"/>
      <c r="F2" s="133" t="s">
        <v>54</v>
      </c>
      <c r="G2" s="134"/>
      <c r="H2" s="134"/>
      <c r="I2" s="119"/>
      <c r="J2" s="133" t="s">
        <v>109</v>
      </c>
      <c r="K2" s="134"/>
      <c r="L2" s="134"/>
      <c r="M2" s="119"/>
      <c r="N2" s="133" t="s">
        <v>55</v>
      </c>
      <c r="O2" s="134"/>
      <c r="P2" s="134"/>
      <c r="Q2" s="119"/>
      <c r="R2" s="133" t="s">
        <v>164</v>
      </c>
      <c r="S2" s="134"/>
      <c r="T2" s="134"/>
      <c r="U2" s="119"/>
      <c r="V2" s="133" t="s">
        <v>165</v>
      </c>
      <c r="W2" s="134"/>
      <c r="X2" s="134"/>
    </row>
    <row r="3" spans="4:24" ht="12.75">
      <c r="D3" s="95" t="s">
        <v>23</v>
      </c>
      <c r="F3" s="50" t="s">
        <v>25</v>
      </c>
      <c r="G3" s="110" t="s">
        <v>25</v>
      </c>
      <c r="H3" s="110" t="s">
        <v>27</v>
      </c>
      <c r="I3" s="50"/>
      <c r="J3" s="50" t="s">
        <v>25</v>
      </c>
      <c r="K3" s="110" t="s">
        <v>25</v>
      </c>
      <c r="L3" s="110" t="s">
        <v>27</v>
      </c>
      <c r="M3" s="50"/>
      <c r="N3" s="50" t="s">
        <v>25</v>
      </c>
      <c r="O3" s="110" t="s">
        <v>25</v>
      </c>
      <c r="P3" s="110" t="s">
        <v>27</v>
      </c>
      <c r="Q3" s="50"/>
      <c r="R3" s="50" t="s">
        <v>25</v>
      </c>
      <c r="S3" s="110" t="s">
        <v>25</v>
      </c>
      <c r="T3" s="110" t="s">
        <v>27</v>
      </c>
      <c r="V3" s="50" t="s">
        <v>25</v>
      </c>
      <c r="W3" s="110" t="s">
        <v>25</v>
      </c>
      <c r="X3" s="110" t="s">
        <v>27</v>
      </c>
    </row>
    <row r="4" spans="4:24" ht="12.75">
      <c r="D4" s="95" t="s">
        <v>342</v>
      </c>
      <c r="F4" s="50" t="s">
        <v>343</v>
      </c>
      <c r="G4" s="110" t="s">
        <v>71</v>
      </c>
      <c r="H4" s="110" t="s">
        <v>71</v>
      </c>
      <c r="I4" s="50"/>
      <c r="J4" s="50" t="s">
        <v>343</v>
      </c>
      <c r="K4" s="110" t="s">
        <v>71</v>
      </c>
      <c r="L4" s="110" t="s">
        <v>71</v>
      </c>
      <c r="M4" s="50"/>
      <c r="N4" s="50" t="s">
        <v>343</v>
      </c>
      <c r="O4" s="110" t="s">
        <v>71</v>
      </c>
      <c r="P4" s="110" t="s">
        <v>71</v>
      </c>
      <c r="Q4" s="50"/>
      <c r="R4" s="50" t="s">
        <v>343</v>
      </c>
      <c r="S4" s="110" t="s">
        <v>71</v>
      </c>
      <c r="T4" s="110" t="s">
        <v>71</v>
      </c>
      <c r="V4" s="50" t="s">
        <v>343</v>
      </c>
      <c r="W4" s="110" t="s">
        <v>71</v>
      </c>
      <c r="X4" s="110" t="s">
        <v>71</v>
      </c>
    </row>
    <row r="5" spans="1:46" s="92" customFormat="1" ht="12.75">
      <c r="A5" s="92" t="s">
        <v>303</v>
      </c>
      <c r="B5" s="92">
        <v>1</v>
      </c>
      <c r="C5" s="92" t="s">
        <v>344</v>
      </c>
      <c r="D5" s="96">
        <v>1</v>
      </c>
      <c r="E5" s="93">
        <v>1</v>
      </c>
      <c r="F5" s="97">
        <v>0.00449</v>
      </c>
      <c r="G5" s="97">
        <f>IF(E5=1,F5/2,F5)</f>
        <v>0.002245</v>
      </c>
      <c r="H5" s="97">
        <f>G5*$D5</f>
        <v>0.002245</v>
      </c>
      <c r="I5" s="93">
        <v>1</v>
      </c>
      <c r="J5" s="97">
        <v>0.00157</v>
      </c>
      <c r="K5" s="97">
        <f>IF(I5=1,J5/2,J5)</f>
        <v>0.000785</v>
      </c>
      <c r="L5" s="97">
        <f>K5*$D5</f>
        <v>0.000785</v>
      </c>
      <c r="M5" s="93">
        <v>1</v>
      </c>
      <c r="N5" s="97">
        <v>0.00301</v>
      </c>
      <c r="O5" s="97">
        <f>IF(M5=1,N5/2,N5)</f>
        <v>0.001505</v>
      </c>
      <c r="P5" s="97">
        <f>O5*$D5</f>
        <v>0.001505</v>
      </c>
      <c r="Q5" s="93">
        <v>1</v>
      </c>
      <c r="R5" s="97">
        <v>0.00336</v>
      </c>
      <c r="S5" s="97">
        <f>IF(Q5=1,R5/2,R5)</f>
        <v>0.00168</v>
      </c>
      <c r="T5" s="97">
        <f>S5*$D5</f>
        <v>0.00168</v>
      </c>
      <c r="U5" s="93">
        <v>1</v>
      </c>
      <c r="V5" s="97">
        <v>0.00466</v>
      </c>
      <c r="W5" s="97">
        <f>IF(U5=1,V5/2,V5)</f>
        <v>0.00233</v>
      </c>
      <c r="X5" s="97">
        <f>W5*$D5</f>
        <v>0.00233</v>
      </c>
      <c r="Y5" s="93"/>
      <c r="Z5" s="97"/>
      <c r="AA5" s="93"/>
      <c r="AB5" s="97"/>
      <c r="AC5" s="93"/>
      <c r="AD5" s="97"/>
      <c r="AE5" s="93"/>
      <c r="AF5" s="98"/>
      <c r="AG5" s="93"/>
      <c r="AH5" s="98"/>
      <c r="AI5" s="93"/>
      <c r="AJ5" s="98"/>
      <c r="AK5" s="93"/>
      <c r="AL5" s="98"/>
      <c r="AM5" s="93"/>
      <c r="AN5" s="98"/>
      <c r="AO5" s="93"/>
      <c r="AP5" s="98"/>
      <c r="AQ5" s="93"/>
      <c r="AR5" s="98"/>
      <c r="AS5" s="93"/>
      <c r="AT5" s="98"/>
    </row>
    <row r="6" spans="1:46" s="92" customFormat="1" ht="12.75">
      <c r="A6" s="92" t="s">
        <v>303</v>
      </c>
      <c r="B6" s="92">
        <v>2</v>
      </c>
      <c r="C6" s="92" t="s">
        <v>345</v>
      </c>
      <c r="D6" s="96">
        <v>0</v>
      </c>
      <c r="E6" s="93"/>
      <c r="F6" s="97">
        <v>0.0569</v>
      </c>
      <c r="G6" s="97">
        <f aca="true" t="shared" si="0" ref="G6:G37">IF(E6=1,F6/2,F6)</f>
        <v>0.0569</v>
      </c>
      <c r="H6" s="97">
        <f aca="true" t="shared" si="1" ref="H6:H37">G6*$D6</f>
        <v>0</v>
      </c>
      <c r="I6" s="93"/>
      <c r="J6" s="97">
        <v>0.0152</v>
      </c>
      <c r="K6" s="97">
        <f aca="true" t="shared" si="2" ref="K6:K37">IF(I6=1,J6/2,J6)</f>
        <v>0.0152</v>
      </c>
      <c r="L6" s="97">
        <f aca="true" t="shared" si="3" ref="L6:L37">K6*$D6</f>
        <v>0</v>
      </c>
      <c r="M6" s="93"/>
      <c r="N6" s="97">
        <v>0.0222</v>
      </c>
      <c r="O6" s="97">
        <f aca="true" t="shared" si="4" ref="O6:O37">IF(M6=1,N6/2,N6)</f>
        <v>0.0222</v>
      </c>
      <c r="P6" s="97">
        <f aca="true" t="shared" si="5" ref="P6:P37">O6*$D6</f>
        <v>0</v>
      </c>
      <c r="Q6" s="93"/>
      <c r="R6" s="97">
        <v>0.0204</v>
      </c>
      <c r="S6" s="97">
        <f aca="true" t="shared" si="6" ref="S6:S37">IF(Q6=1,R6/2,R6)</f>
        <v>0.0204</v>
      </c>
      <c r="T6" s="97">
        <f aca="true" t="shared" si="7" ref="T6:T37">S6*$D6</f>
        <v>0</v>
      </c>
      <c r="U6" s="93"/>
      <c r="V6" s="97">
        <v>0.0681</v>
      </c>
      <c r="W6" s="97">
        <f aca="true" t="shared" si="8" ref="W6:W37">IF(U6=1,V6/2,V6)</f>
        <v>0.0681</v>
      </c>
      <c r="X6" s="97">
        <f aca="true" t="shared" si="9" ref="X6:X37">W6*$D6</f>
        <v>0</v>
      </c>
      <c r="Y6" s="93"/>
      <c r="Z6" s="97"/>
      <c r="AA6" s="93"/>
      <c r="AB6" s="97"/>
      <c r="AC6" s="93"/>
      <c r="AD6" s="97"/>
      <c r="AE6" s="93"/>
      <c r="AF6" s="98"/>
      <c r="AG6" s="93"/>
      <c r="AH6" s="98"/>
      <c r="AI6" s="93"/>
      <c r="AJ6" s="98"/>
      <c r="AK6" s="93"/>
      <c r="AL6" s="98"/>
      <c r="AM6" s="93"/>
      <c r="AN6" s="98"/>
      <c r="AO6" s="93"/>
      <c r="AP6" s="98"/>
      <c r="AQ6" s="93"/>
      <c r="AR6" s="98"/>
      <c r="AS6" s="93"/>
      <c r="AT6" s="98"/>
    </row>
    <row r="7" spans="1:46" s="92" customFormat="1" ht="12.75">
      <c r="A7" s="92" t="s">
        <v>303</v>
      </c>
      <c r="B7" s="92">
        <v>3</v>
      </c>
      <c r="C7" s="92" t="s">
        <v>346</v>
      </c>
      <c r="D7" s="96">
        <v>0</v>
      </c>
      <c r="E7" s="93"/>
      <c r="F7" s="97">
        <v>0.06139</v>
      </c>
      <c r="G7" s="97">
        <f t="shared" si="0"/>
        <v>0.06139</v>
      </c>
      <c r="H7" s="97">
        <f t="shared" si="1"/>
        <v>0</v>
      </c>
      <c r="I7" s="93"/>
      <c r="J7" s="97">
        <v>0.01677</v>
      </c>
      <c r="K7" s="97">
        <f t="shared" si="2"/>
        <v>0.01677</v>
      </c>
      <c r="L7" s="97">
        <f t="shared" si="3"/>
        <v>0</v>
      </c>
      <c r="M7" s="93"/>
      <c r="N7" s="97">
        <v>0.02521</v>
      </c>
      <c r="O7" s="97">
        <f t="shared" si="4"/>
        <v>0.02521</v>
      </c>
      <c r="P7" s="97">
        <f t="shared" si="5"/>
        <v>0</v>
      </c>
      <c r="Q7" s="93"/>
      <c r="R7" s="97">
        <v>0.02376</v>
      </c>
      <c r="S7" s="97">
        <f t="shared" si="6"/>
        <v>0.02376</v>
      </c>
      <c r="T7" s="97">
        <f t="shared" si="7"/>
        <v>0</v>
      </c>
      <c r="U7" s="93"/>
      <c r="V7" s="97">
        <v>0.07276</v>
      </c>
      <c r="W7" s="97">
        <f t="shared" si="8"/>
        <v>0.07276</v>
      </c>
      <c r="X7" s="97">
        <f t="shared" si="9"/>
        <v>0</v>
      </c>
      <c r="Y7" s="93"/>
      <c r="Z7" s="97"/>
      <c r="AA7" s="93"/>
      <c r="AB7" s="97"/>
      <c r="AC7" s="93"/>
      <c r="AD7" s="97"/>
      <c r="AE7" s="93"/>
      <c r="AF7" s="98"/>
      <c r="AG7" s="93"/>
      <c r="AH7" s="98"/>
      <c r="AI7" s="93"/>
      <c r="AJ7" s="98"/>
      <c r="AK7" s="93"/>
      <c r="AL7" s="98"/>
      <c r="AM7" s="93"/>
      <c r="AN7" s="98"/>
      <c r="AO7" s="93"/>
      <c r="AP7" s="98"/>
      <c r="AQ7" s="93"/>
      <c r="AR7" s="98"/>
      <c r="AS7" s="93"/>
      <c r="AT7" s="98"/>
    </row>
    <row r="8" spans="1:46" s="92" customFormat="1" ht="12.75">
      <c r="A8" s="92" t="s">
        <v>303</v>
      </c>
      <c r="B8" s="92">
        <v>4</v>
      </c>
      <c r="C8" s="92" t="s">
        <v>347</v>
      </c>
      <c r="D8" s="96">
        <v>0.5</v>
      </c>
      <c r="E8" s="93"/>
      <c r="F8" s="97">
        <v>0.00967</v>
      </c>
      <c r="G8" s="97">
        <f t="shared" si="0"/>
        <v>0.00967</v>
      </c>
      <c r="H8" s="97">
        <f t="shared" si="1"/>
        <v>0.004835</v>
      </c>
      <c r="I8" s="93"/>
      <c r="J8" s="97">
        <v>0.00244</v>
      </c>
      <c r="K8" s="97">
        <f t="shared" si="2"/>
        <v>0.00244</v>
      </c>
      <c r="L8" s="97">
        <f t="shared" si="3"/>
        <v>0.00122</v>
      </c>
      <c r="M8" s="93"/>
      <c r="N8" s="97">
        <v>0.00682</v>
      </c>
      <c r="O8" s="97">
        <f t="shared" si="4"/>
        <v>0.00682</v>
      </c>
      <c r="P8" s="97">
        <f t="shared" si="5"/>
        <v>0.00341</v>
      </c>
      <c r="Q8" s="93"/>
      <c r="R8" s="97">
        <v>0.00512</v>
      </c>
      <c r="S8" s="97">
        <f t="shared" si="6"/>
        <v>0.00512</v>
      </c>
      <c r="T8" s="97">
        <f t="shared" si="7"/>
        <v>0.00256</v>
      </c>
      <c r="U8" s="93"/>
      <c r="V8" s="97">
        <v>0.00943</v>
      </c>
      <c r="W8" s="97">
        <f t="shared" si="8"/>
        <v>0.00943</v>
      </c>
      <c r="X8" s="97">
        <f t="shared" si="9"/>
        <v>0.004715</v>
      </c>
      <c r="Y8" s="93"/>
      <c r="Z8" s="97"/>
      <c r="AA8" s="93"/>
      <c r="AB8" s="97"/>
      <c r="AC8" s="93"/>
      <c r="AD8" s="97"/>
      <c r="AE8" s="93"/>
      <c r="AF8" s="98"/>
      <c r="AG8" s="93"/>
      <c r="AH8" s="98"/>
      <c r="AI8" s="93"/>
      <c r="AJ8" s="98"/>
      <c r="AK8" s="93"/>
      <c r="AL8" s="98"/>
      <c r="AM8" s="93"/>
      <c r="AN8" s="98"/>
      <c r="AO8" s="93"/>
      <c r="AP8" s="98"/>
      <c r="AQ8" s="93"/>
      <c r="AR8" s="98"/>
      <c r="AS8" s="93"/>
      <c r="AT8" s="98"/>
    </row>
    <row r="9" spans="1:46" s="92" customFormat="1" ht="12.75">
      <c r="A9" s="92" t="s">
        <v>303</v>
      </c>
      <c r="B9" s="92">
        <v>5</v>
      </c>
      <c r="C9" s="92" t="s">
        <v>348</v>
      </c>
      <c r="D9" s="96">
        <v>0</v>
      </c>
      <c r="E9" s="93"/>
      <c r="F9" s="97">
        <v>0.102</v>
      </c>
      <c r="G9" s="97">
        <f t="shared" si="0"/>
        <v>0.102</v>
      </c>
      <c r="H9" s="97">
        <f t="shared" si="1"/>
        <v>0</v>
      </c>
      <c r="I9" s="93"/>
      <c r="J9" s="97">
        <v>0.0342</v>
      </c>
      <c r="K9" s="97">
        <f t="shared" si="2"/>
        <v>0.0342</v>
      </c>
      <c r="L9" s="97">
        <f t="shared" si="3"/>
        <v>0</v>
      </c>
      <c r="M9" s="93"/>
      <c r="N9" s="97">
        <v>0.0625</v>
      </c>
      <c r="O9" s="97">
        <f t="shared" si="4"/>
        <v>0.0625</v>
      </c>
      <c r="P9" s="97">
        <f t="shared" si="5"/>
        <v>0</v>
      </c>
      <c r="Q9" s="93"/>
      <c r="R9" s="97">
        <v>0.0605</v>
      </c>
      <c r="S9" s="97">
        <f t="shared" si="6"/>
        <v>0.0605</v>
      </c>
      <c r="T9" s="97">
        <f t="shared" si="7"/>
        <v>0</v>
      </c>
      <c r="U9" s="93"/>
      <c r="V9" s="97">
        <v>0.089</v>
      </c>
      <c r="W9" s="97">
        <f t="shared" si="8"/>
        <v>0.089</v>
      </c>
      <c r="X9" s="97">
        <f t="shared" si="9"/>
        <v>0</v>
      </c>
      <c r="Y9" s="93"/>
      <c r="Z9" s="97"/>
      <c r="AA9" s="93"/>
      <c r="AB9" s="97"/>
      <c r="AC9" s="93"/>
      <c r="AD9" s="97"/>
      <c r="AE9" s="93"/>
      <c r="AF9" s="98"/>
      <c r="AG9" s="93"/>
      <c r="AH9" s="98"/>
      <c r="AI9" s="93"/>
      <c r="AJ9" s="98"/>
      <c r="AK9" s="93"/>
      <c r="AL9" s="98"/>
      <c r="AM9" s="93"/>
      <c r="AN9" s="98"/>
      <c r="AO9" s="93"/>
      <c r="AP9" s="98"/>
      <c r="AQ9" s="93"/>
      <c r="AR9" s="98"/>
      <c r="AS9" s="93"/>
      <c r="AT9" s="98"/>
    </row>
    <row r="10" spans="1:46" s="92" customFormat="1" ht="12.75">
      <c r="A10" s="92" t="s">
        <v>303</v>
      </c>
      <c r="B10" s="92">
        <v>6</v>
      </c>
      <c r="C10" s="92" t="s">
        <v>349</v>
      </c>
      <c r="D10" s="96">
        <v>0</v>
      </c>
      <c r="E10" s="93"/>
      <c r="F10" s="97">
        <v>0.11167</v>
      </c>
      <c r="G10" s="97">
        <f t="shared" si="0"/>
        <v>0.11167</v>
      </c>
      <c r="H10" s="97">
        <f t="shared" si="1"/>
        <v>0</v>
      </c>
      <c r="I10" s="93"/>
      <c r="J10" s="97">
        <v>0.03664</v>
      </c>
      <c r="K10" s="97">
        <f t="shared" si="2"/>
        <v>0.03664</v>
      </c>
      <c r="L10" s="97">
        <f t="shared" si="3"/>
        <v>0</v>
      </c>
      <c r="M10" s="93"/>
      <c r="N10" s="97">
        <v>0.06932</v>
      </c>
      <c r="O10" s="97">
        <f t="shared" si="4"/>
        <v>0.06932</v>
      </c>
      <c r="P10" s="97">
        <f t="shared" si="5"/>
        <v>0</v>
      </c>
      <c r="Q10" s="93"/>
      <c r="R10" s="97">
        <v>0.06562</v>
      </c>
      <c r="S10" s="97">
        <f t="shared" si="6"/>
        <v>0.06562</v>
      </c>
      <c r="T10" s="97">
        <f t="shared" si="7"/>
        <v>0</v>
      </c>
      <c r="U10" s="93"/>
      <c r="V10" s="97">
        <v>0.09843</v>
      </c>
      <c r="W10" s="97">
        <f t="shared" si="8"/>
        <v>0.09843</v>
      </c>
      <c r="X10" s="97">
        <f t="shared" si="9"/>
        <v>0</v>
      </c>
      <c r="Y10" s="93"/>
      <c r="Z10" s="97"/>
      <c r="AA10" s="93"/>
      <c r="AB10" s="97"/>
      <c r="AC10" s="93"/>
      <c r="AD10" s="97"/>
      <c r="AE10" s="93"/>
      <c r="AF10" s="98"/>
      <c r="AG10" s="93"/>
      <c r="AH10" s="98"/>
      <c r="AI10" s="93"/>
      <c r="AJ10" s="98"/>
      <c r="AK10" s="93"/>
      <c r="AL10" s="98"/>
      <c r="AM10" s="93"/>
      <c r="AN10" s="98"/>
      <c r="AO10" s="93"/>
      <c r="AP10" s="98"/>
      <c r="AQ10" s="93"/>
      <c r="AR10" s="98"/>
      <c r="AS10" s="93"/>
      <c r="AT10" s="98"/>
    </row>
    <row r="11" spans="1:46" s="92" customFormat="1" ht="12.75">
      <c r="A11" s="92" t="s">
        <v>303</v>
      </c>
      <c r="B11" s="92">
        <v>7</v>
      </c>
      <c r="C11" s="92" t="s">
        <v>350</v>
      </c>
      <c r="D11" s="96">
        <v>0.1</v>
      </c>
      <c r="E11" s="93"/>
      <c r="F11" s="97">
        <v>0.0159</v>
      </c>
      <c r="G11" s="97">
        <f t="shared" si="0"/>
        <v>0.0159</v>
      </c>
      <c r="H11" s="97">
        <f t="shared" si="1"/>
        <v>0.0015900000000000003</v>
      </c>
      <c r="I11" s="93"/>
      <c r="J11" s="97">
        <v>0.00526</v>
      </c>
      <c r="K11" s="97">
        <f t="shared" si="2"/>
        <v>0.00526</v>
      </c>
      <c r="L11" s="97">
        <f t="shared" si="3"/>
        <v>0.000526</v>
      </c>
      <c r="M11" s="93"/>
      <c r="N11" s="97">
        <v>0.0102</v>
      </c>
      <c r="O11" s="97">
        <f t="shared" si="4"/>
        <v>0.0102</v>
      </c>
      <c r="P11" s="97">
        <f t="shared" si="5"/>
        <v>0.00102</v>
      </c>
      <c r="Q11" s="93"/>
      <c r="R11" s="97">
        <v>0.0066</v>
      </c>
      <c r="S11" s="97">
        <f t="shared" si="6"/>
        <v>0.0066</v>
      </c>
      <c r="T11" s="97">
        <f t="shared" si="7"/>
        <v>0.00066</v>
      </c>
      <c r="U11" s="93"/>
      <c r="V11" s="97">
        <v>0.00995</v>
      </c>
      <c r="W11" s="97">
        <f t="shared" si="8"/>
        <v>0.00995</v>
      </c>
      <c r="X11" s="97">
        <f t="shared" si="9"/>
        <v>0.000995</v>
      </c>
      <c r="Y11" s="93"/>
      <c r="Z11" s="97"/>
      <c r="AA11" s="93"/>
      <c r="AB11" s="97"/>
      <c r="AC11" s="93"/>
      <c r="AD11" s="97"/>
      <c r="AE11" s="93"/>
      <c r="AF11" s="98"/>
      <c r="AG11" s="93"/>
      <c r="AH11" s="98"/>
      <c r="AI11" s="93"/>
      <c r="AJ11" s="98"/>
      <c r="AK11" s="93"/>
      <c r="AL11" s="98"/>
      <c r="AM11" s="93"/>
      <c r="AN11" s="98"/>
      <c r="AO11" s="93"/>
      <c r="AP11" s="98"/>
      <c r="AQ11" s="93"/>
      <c r="AR11" s="98"/>
      <c r="AS11" s="93"/>
      <c r="AT11" s="98"/>
    </row>
    <row r="12" spans="1:46" s="92" customFormat="1" ht="12.75">
      <c r="A12" s="92" t="s">
        <v>303</v>
      </c>
      <c r="B12" s="92">
        <v>8</v>
      </c>
      <c r="C12" s="92" t="s">
        <v>351</v>
      </c>
      <c r="D12" s="96">
        <v>0.1</v>
      </c>
      <c r="E12" s="93"/>
      <c r="F12" s="97">
        <v>0.0324</v>
      </c>
      <c r="G12" s="97">
        <f t="shared" si="0"/>
        <v>0.0324</v>
      </c>
      <c r="H12" s="97">
        <f t="shared" si="1"/>
        <v>0.00324</v>
      </c>
      <c r="I12" s="93"/>
      <c r="J12" s="97">
        <v>0.00868</v>
      </c>
      <c r="K12" s="97">
        <f t="shared" si="2"/>
        <v>0.00868</v>
      </c>
      <c r="L12" s="97">
        <f t="shared" si="3"/>
        <v>0.0008680000000000001</v>
      </c>
      <c r="M12" s="93"/>
      <c r="N12" s="97">
        <v>0.0153</v>
      </c>
      <c r="O12" s="97">
        <f t="shared" si="4"/>
        <v>0.0153</v>
      </c>
      <c r="P12" s="97">
        <f t="shared" si="5"/>
        <v>0.0015300000000000001</v>
      </c>
      <c r="Q12" s="93"/>
      <c r="R12" s="97">
        <v>0.0121</v>
      </c>
      <c r="S12" s="97">
        <f t="shared" si="6"/>
        <v>0.0121</v>
      </c>
      <c r="T12" s="97">
        <f t="shared" si="7"/>
        <v>0.0012100000000000001</v>
      </c>
      <c r="U12" s="93"/>
      <c r="V12" s="97">
        <v>0.0157</v>
      </c>
      <c r="W12" s="97">
        <f t="shared" si="8"/>
        <v>0.0157</v>
      </c>
      <c r="X12" s="97">
        <f t="shared" si="9"/>
        <v>0.00157</v>
      </c>
      <c r="Y12" s="93"/>
      <c r="Z12" s="97"/>
      <c r="AA12" s="93"/>
      <c r="AB12" s="97"/>
      <c r="AC12" s="93"/>
      <c r="AD12" s="97"/>
      <c r="AE12" s="93"/>
      <c r="AF12" s="98"/>
      <c r="AG12" s="93"/>
      <c r="AH12" s="98"/>
      <c r="AI12" s="93"/>
      <c r="AJ12" s="98"/>
      <c r="AK12" s="93"/>
      <c r="AL12" s="98"/>
      <c r="AM12" s="93"/>
      <c r="AN12" s="98"/>
      <c r="AO12" s="93"/>
      <c r="AP12" s="98"/>
      <c r="AQ12" s="93"/>
      <c r="AR12" s="98"/>
      <c r="AS12" s="93"/>
      <c r="AT12" s="98"/>
    </row>
    <row r="13" spans="1:46" s="92" customFormat="1" ht="12.75">
      <c r="A13" s="92" t="s">
        <v>303</v>
      </c>
      <c r="B13" s="92">
        <v>9</v>
      </c>
      <c r="C13" s="92" t="s">
        <v>352</v>
      </c>
      <c r="D13" s="96">
        <v>0.1</v>
      </c>
      <c r="E13" s="93"/>
      <c r="F13" s="97">
        <v>0.0267</v>
      </c>
      <c r="G13" s="97">
        <f t="shared" si="0"/>
        <v>0.0267</v>
      </c>
      <c r="H13" s="97">
        <f t="shared" si="1"/>
        <v>0.0026700000000000005</v>
      </c>
      <c r="I13" s="93"/>
      <c r="J13" s="97">
        <v>0.00434</v>
      </c>
      <c r="K13" s="97">
        <f t="shared" si="2"/>
        <v>0.00434</v>
      </c>
      <c r="L13" s="97">
        <f t="shared" si="3"/>
        <v>0.00043400000000000003</v>
      </c>
      <c r="M13" s="93"/>
      <c r="N13" s="97">
        <v>0.0136</v>
      </c>
      <c r="O13" s="97">
        <f t="shared" si="4"/>
        <v>0.0136</v>
      </c>
      <c r="P13" s="97">
        <f t="shared" si="5"/>
        <v>0.00136</v>
      </c>
      <c r="Q13" s="93"/>
      <c r="R13" s="97">
        <v>0.00605</v>
      </c>
      <c r="S13" s="97">
        <f t="shared" si="6"/>
        <v>0.00605</v>
      </c>
      <c r="T13" s="97">
        <f t="shared" si="7"/>
        <v>0.0006050000000000001</v>
      </c>
      <c r="U13" s="93"/>
      <c r="V13" s="97">
        <v>0.0126</v>
      </c>
      <c r="W13" s="97">
        <f t="shared" si="8"/>
        <v>0.0126</v>
      </c>
      <c r="X13" s="97">
        <f t="shared" si="9"/>
        <v>0.00126</v>
      </c>
      <c r="Y13" s="93"/>
      <c r="Z13" s="97"/>
      <c r="AA13" s="93"/>
      <c r="AB13" s="97"/>
      <c r="AC13" s="93"/>
      <c r="AD13" s="97"/>
      <c r="AE13" s="93"/>
      <c r="AF13" s="98"/>
      <c r="AG13" s="93"/>
      <c r="AH13" s="98"/>
      <c r="AI13" s="93"/>
      <c r="AJ13" s="98"/>
      <c r="AK13" s="93"/>
      <c r="AL13" s="98"/>
      <c r="AM13" s="93"/>
      <c r="AN13" s="98"/>
      <c r="AO13" s="93"/>
      <c r="AP13" s="98"/>
      <c r="AQ13" s="93"/>
      <c r="AR13" s="98"/>
      <c r="AS13" s="93"/>
      <c r="AT13" s="98"/>
    </row>
    <row r="14" spans="1:46" s="92" customFormat="1" ht="12.75">
      <c r="A14" s="92" t="s">
        <v>303</v>
      </c>
      <c r="B14" s="92">
        <v>10</v>
      </c>
      <c r="C14" s="92" t="s">
        <v>353</v>
      </c>
      <c r="D14" s="96">
        <v>0</v>
      </c>
      <c r="E14" s="93"/>
      <c r="F14" s="97">
        <v>0.279</v>
      </c>
      <c r="G14" s="97">
        <f t="shared" si="0"/>
        <v>0.279</v>
      </c>
      <c r="H14" s="97">
        <f t="shared" si="1"/>
        <v>0</v>
      </c>
      <c r="I14" s="93"/>
      <c r="J14" s="97">
        <v>0.0813</v>
      </c>
      <c r="K14" s="97">
        <f t="shared" si="2"/>
        <v>0.0813</v>
      </c>
      <c r="L14" s="97">
        <f t="shared" si="3"/>
        <v>0</v>
      </c>
      <c r="M14" s="93"/>
      <c r="N14" s="97">
        <v>0.159</v>
      </c>
      <c r="O14" s="97">
        <f t="shared" si="4"/>
        <v>0.159</v>
      </c>
      <c r="P14" s="97">
        <f t="shared" si="5"/>
        <v>0</v>
      </c>
      <c r="Q14" s="93"/>
      <c r="R14" s="97">
        <v>0.121</v>
      </c>
      <c r="S14" s="97">
        <f t="shared" si="6"/>
        <v>0.121</v>
      </c>
      <c r="T14" s="97">
        <f t="shared" si="7"/>
        <v>0</v>
      </c>
      <c r="U14" s="93"/>
      <c r="V14" s="97">
        <v>0.162</v>
      </c>
      <c r="W14" s="97">
        <f t="shared" si="8"/>
        <v>0.162</v>
      </c>
      <c r="X14" s="97">
        <f t="shared" si="9"/>
        <v>0</v>
      </c>
      <c r="Y14" s="93"/>
      <c r="Z14" s="97"/>
      <c r="AA14" s="93"/>
      <c r="AB14" s="97"/>
      <c r="AC14" s="93"/>
      <c r="AD14" s="97"/>
      <c r="AE14" s="93"/>
      <c r="AF14" s="98"/>
      <c r="AG14" s="93"/>
      <c r="AH14" s="98"/>
      <c r="AI14" s="93"/>
      <c r="AJ14" s="98"/>
      <c r="AK14" s="93"/>
      <c r="AL14" s="98"/>
      <c r="AM14" s="93"/>
      <c r="AN14" s="98"/>
      <c r="AO14" s="93"/>
      <c r="AP14" s="98"/>
      <c r="AQ14" s="93"/>
      <c r="AR14" s="98"/>
      <c r="AS14" s="93"/>
      <c r="AT14" s="98"/>
    </row>
    <row r="15" spans="1:46" s="92" customFormat="1" ht="12.75">
      <c r="A15" s="92" t="s">
        <v>303</v>
      </c>
      <c r="B15" s="92">
        <v>11</v>
      </c>
      <c r="C15" s="92" t="s">
        <v>354</v>
      </c>
      <c r="D15" s="96">
        <v>0</v>
      </c>
      <c r="E15" s="93"/>
      <c r="F15" s="97">
        <v>0.354</v>
      </c>
      <c r="G15" s="97">
        <f t="shared" si="0"/>
        <v>0.354</v>
      </c>
      <c r="H15" s="97">
        <f t="shared" si="1"/>
        <v>0</v>
      </c>
      <c r="I15" s="93"/>
      <c r="J15" s="97">
        <v>0.09958</v>
      </c>
      <c r="K15" s="97">
        <f t="shared" si="2"/>
        <v>0.09958</v>
      </c>
      <c r="L15" s="97">
        <f t="shared" si="3"/>
        <v>0</v>
      </c>
      <c r="M15" s="93"/>
      <c r="N15" s="97">
        <v>0.1981</v>
      </c>
      <c r="O15" s="97">
        <f t="shared" si="4"/>
        <v>0.1981</v>
      </c>
      <c r="P15" s="97">
        <f t="shared" si="5"/>
        <v>0</v>
      </c>
      <c r="Q15" s="93"/>
      <c r="R15" s="97">
        <v>0.14575</v>
      </c>
      <c r="S15" s="97">
        <f t="shared" si="6"/>
        <v>0.14575</v>
      </c>
      <c r="T15" s="97">
        <f t="shared" si="7"/>
        <v>0</v>
      </c>
      <c r="U15" s="93"/>
      <c r="V15" s="97">
        <v>0.20025</v>
      </c>
      <c r="W15" s="97">
        <f t="shared" si="8"/>
        <v>0.20025</v>
      </c>
      <c r="X15" s="97">
        <f t="shared" si="9"/>
        <v>0</v>
      </c>
      <c r="Y15" s="93"/>
      <c r="Z15" s="97"/>
      <c r="AA15" s="93"/>
      <c r="AB15" s="97"/>
      <c r="AC15" s="93"/>
      <c r="AD15" s="97"/>
      <c r="AE15" s="93"/>
      <c r="AF15" s="98"/>
      <c r="AG15" s="93"/>
      <c r="AH15" s="98"/>
      <c r="AI15" s="93"/>
      <c r="AJ15" s="98"/>
      <c r="AK15" s="93"/>
      <c r="AL15" s="98"/>
      <c r="AM15" s="93"/>
      <c r="AN15" s="98"/>
      <c r="AO15" s="93"/>
      <c r="AP15" s="98"/>
      <c r="AQ15" s="93"/>
      <c r="AR15" s="98"/>
      <c r="AS15" s="93"/>
      <c r="AT15" s="98"/>
    </row>
    <row r="16" spans="1:46" s="92" customFormat="1" ht="12.75">
      <c r="A16" s="92" t="s">
        <v>303</v>
      </c>
      <c r="B16" s="92">
        <v>12</v>
      </c>
      <c r="C16" s="92" t="s">
        <v>355</v>
      </c>
      <c r="D16" s="96">
        <v>0.01</v>
      </c>
      <c r="E16" s="93"/>
      <c r="F16" s="97">
        <v>0.438</v>
      </c>
      <c r="G16" s="97">
        <f t="shared" si="0"/>
        <v>0.438</v>
      </c>
      <c r="H16" s="97">
        <f t="shared" si="1"/>
        <v>0.00438</v>
      </c>
      <c r="I16" s="93"/>
      <c r="J16" s="97">
        <v>0.0542</v>
      </c>
      <c r="K16" s="97">
        <f t="shared" si="2"/>
        <v>0.0542</v>
      </c>
      <c r="L16" s="97">
        <f t="shared" si="3"/>
        <v>0.000542</v>
      </c>
      <c r="M16" s="93"/>
      <c r="N16" s="97">
        <v>0.159</v>
      </c>
      <c r="O16" s="97">
        <f t="shared" si="4"/>
        <v>0.159</v>
      </c>
      <c r="P16" s="97">
        <f t="shared" si="5"/>
        <v>0.00159</v>
      </c>
      <c r="Q16" s="93"/>
      <c r="R16" s="97">
        <v>0.066</v>
      </c>
      <c r="S16" s="97">
        <f t="shared" si="6"/>
        <v>0.066</v>
      </c>
      <c r="T16" s="97">
        <f t="shared" si="7"/>
        <v>0.00066</v>
      </c>
      <c r="U16" s="93"/>
      <c r="V16" s="97">
        <v>0.0838</v>
      </c>
      <c r="W16" s="97">
        <f t="shared" si="8"/>
        <v>0.0838</v>
      </c>
      <c r="X16" s="97">
        <f t="shared" si="9"/>
        <v>0.000838</v>
      </c>
      <c r="Y16" s="93"/>
      <c r="Z16" s="97"/>
      <c r="AA16" s="93"/>
      <c r="AB16" s="97"/>
      <c r="AC16" s="93"/>
      <c r="AD16" s="97"/>
      <c r="AE16" s="93"/>
      <c r="AF16" s="98"/>
      <c r="AG16" s="93"/>
      <c r="AH16" s="98"/>
      <c r="AI16" s="93"/>
      <c r="AJ16" s="98"/>
      <c r="AK16" s="93"/>
      <c r="AL16" s="98"/>
      <c r="AM16" s="93"/>
      <c r="AN16" s="98"/>
      <c r="AO16" s="93"/>
      <c r="AP16" s="98"/>
      <c r="AQ16" s="93"/>
      <c r="AR16" s="98"/>
      <c r="AS16" s="93"/>
      <c r="AT16" s="98"/>
    </row>
    <row r="17" spans="1:46" s="92" customFormat="1" ht="12.75">
      <c r="A17" s="92" t="s">
        <v>303</v>
      </c>
      <c r="B17" s="92">
        <v>13</v>
      </c>
      <c r="C17" s="92" t="s">
        <v>356</v>
      </c>
      <c r="D17" s="96">
        <v>0</v>
      </c>
      <c r="E17" s="93"/>
      <c r="F17" s="97">
        <v>0.739</v>
      </c>
      <c r="G17" s="97">
        <f t="shared" si="0"/>
        <v>0.739</v>
      </c>
      <c r="H17" s="97">
        <f t="shared" si="1"/>
        <v>0</v>
      </c>
      <c r="I17" s="93"/>
      <c r="J17" s="97">
        <v>0.114</v>
      </c>
      <c r="K17" s="97">
        <f t="shared" si="2"/>
        <v>0.114</v>
      </c>
      <c r="L17" s="97">
        <f t="shared" si="3"/>
        <v>0</v>
      </c>
      <c r="M17" s="93"/>
      <c r="N17" s="97">
        <v>0.296</v>
      </c>
      <c r="O17" s="97">
        <f t="shared" si="4"/>
        <v>0.296</v>
      </c>
      <c r="P17" s="97">
        <f t="shared" si="5"/>
        <v>0</v>
      </c>
      <c r="Q17" s="93"/>
      <c r="R17" s="97">
        <v>0.138</v>
      </c>
      <c r="S17" s="97">
        <f t="shared" si="6"/>
        <v>0.138</v>
      </c>
      <c r="T17" s="97">
        <f t="shared" si="7"/>
        <v>0</v>
      </c>
      <c r="U17" s="93"/>
      <c r="V17" s="97">
        <v>0.173</v>
      </c>
      <c r="W17" s="97">
        <f t="shared" si="8"/>
        <v>0.173</v>
      </c>
      <c r="X17" s="97">
        <f t="shared" si="9"/>
        <v>0</v>
      </c>
      <c r="Y17" s="93"/>
      <c r="Z17" s="97"/>
      <c r="AA17" s="93"/>
      <c r="AB17" s="97"/>
      <c r="AC17" s="93"/>
      <c r="AD17" s="97"/>
      <c r="AE17" s="93"/>
      <c r="AF17" s="98"/>
      <c r="AG17" s="93"/>
      <c r="AH17" s="98"/>
      <c r="AI17" s="93"/>
      <c r="AJ17" s="98"/>
      <c r="AK17" s="93"/>
      <c r="AL17" s="98"/>
      <c r="AM17" s="93"/>
      <c r="AN17" s="98"/>
      <c r="AO17" s="93"/>
      <c r="AP17" s="98"/>
      <c r="AQ17" s="93"/>
      <c r="AR17" s="98"/>
      <c r="AS17" s="93"/>
      <c r="AT17" s="98"/>
    </row>
    <row r="18" spans="1:46" s="92" customFormat="1" ht="12.75">
      <c r="A18" s="92" t="s">
        <v>303</v>
      </c>
      <c r="B18" s="92">
        <v>14</v>
      </c>
      <c r="C18" s="92" t="s">
        <v>357</v>
      </c>
      <c r="D18" s="96">
        <v>0</v>
      </c>
      <c r="E18" s="93"/>
      <c r="F18" s="97">
        <v>1.177</v>
      </c>
      <c r="G18" s="97">
        <f t="shared" si="0"/>
        <v>1.177</v>
      </c>
      <c r="H18" s="97">
        <f t="shared" si="1"/>
        <v>0</v>
      </c>
      <c r="I18" s="93"/>
      <c r="J18" s="97">
        <v>0.1682</v>
      </c>
      <c r="K18" s="97">
        <f t="shared" si="2"/>
        <v>0.1682</v>
      </c>
      <c r="L18" s="97">
        <f t="shared" si="3"/>
        <v>0</v>
      </c>
      <c r="M18" s="93"/>
      <c r="N18" s="97">
        <v>0.455</v>
      </c>
      <c r="O18" s="97">
        <f t="shared" si="4"/>
        <v>0.455</v>
      </c>
      <c r="P18" s="97">
        <f t="shared" si="5"/>
        <v>0</v>
      </c>
      <c r="Q18" s="93"/>
      <c r="R18" s="97">
        <v>0.204</v>
      </c>
      <c r="S18" s="97">
        <f t="shared" si="6"/>
        <v>0.204</v>
      </c>
      <c r="T18" s="97">
        <f t="shared" si="7"/>
        <v>0</v>
      </c>
      <c r="U18" s="93"/>
      <c r="V18" s="97">
        <v>0.2568</v>
      </c>
      <c r="W18" s="97">
        <f t="shared" si="8"/>
        <v>0.2568</v>
      </c>
      <c r="X18" s="97">
        <f t="shared" si="9"/>
        <v>0</v>
      </c>
      <c r="Y18" s="93"/>
      <c r="Z18" s="97"/>
      <c r="AA18" s="93"/>
      <c r="AB18" s="97"/>
      <c r="AC18" s="93"/>
      <c r="AD18" s="97"/>
      <c r="AE18" s="93"/>
      <c r="AF18" s="98"/>
      <c r="AG18" s="93"/>
      <c r="AH18" s="98"/>
      <c r="AI18" s="93"/>
      <c r="AJ18" s="98"/>
      <c r="AK18" s="93"/>
      <c r="AL18" s="98"/>
      <c r="AM18" s="93"/>
      <c r="AN18" s="98"/>
      <c r="AO18" s="93"/>
      <c r="AP18" s="98"/>
      <c r="AQ18" s="93"/>
      <c r="AR18" s="98"/>
      <c r="AS18" s="93"/>
      <c r="AT18" s="98"/>
    </row>
    <row r="19" spans="1:46" s="92" customFormat="1" ht="12.75">
      <c r="A19" s="92" t="s">
        <v>303</v>
      </c>
      <c r="B19" s="92">
        <v>15</v>
      </c>
      <c r="C19" s="92" t="s">
        <v>358</v>
      </c>
      <c r="D19" s="96">
        <v>0.001</v>
      </c>
      <c r="E19" s="93"/>
      <c r="F19" s="97">
        <v>1.99</v>
      </c>
      <c r="G19" s="97">
        <f t="shared" si="0"/>
        <v>1.99</v>
      </c>
      <c r="H19" s="97">
        <f t="shared" si="1"/>
        <v>0.00199</v>
      </c>
      <c r="I19" s="93"/>
      <c r="J19" s="97">
        <v>0.163</v>
      </c>
      <c r="K19" s="97">
        <f t="shared" si="2"/>
        <v>0.163</v>
      </c>
      <c r="L19" s="97">
        <f t="shared" si="3"/>
        <v>0.000163</v>
      </c>
      <c r="M19" s="93"/>
      <c r="N19" s="97">
        <v>0.568</v>
      </c>
      <c r="O19" s="97">
        <f t="shared" si="4"/>
        <v>0.568</v>
      </c>
      <c r="P19" s="97">
        <f t="shared" si="5"/>
        <v>0.0005679999999999999</v>
      </c>
      <c r="Q19" s="93"/>
      <c r="R19" s="97">
        <v>0.182</v>
      </c>
      <c r="S19" s="97">
        <f t="shared" si="6"/>
        <v>0.182</v>
      </c>
      <c r="T19" s="97">
        <f t="shared" si="7"/>
        <v>0.000182</v>
      </c>
      <c r="U19" s="93"/>
      <c r="V19" s="97">
        <v>0.22</v>
      </c>
      <c r="W19" s="97">
        <f t="shared" si="8"/>
        <v>0.22</v>
      </c>
      <c r="X19" s="97">
        <f t="shared" si="9"/>
        <v>0.00022</v>
      </c>
      <c r="Y19" s="93"/>
      <c r="Z19" s="97"/>
      <c r="AA19" s="93"/>
      <c r="AB19" s="97"/>
      <c r="AC19" s="93"/>
      <c r="AD19" s="97"/>
      <c r="AE19" s="93"/>
      <c r="AF19" s="98"/>
      <c r="AG19" s="93"/>
      <c r="AH19" s="98"/>
      <c r="AI19" s="93"/>
      <c r="AJ19" s="98"/>
      <c r="AK19" s="93"/>
      <c r="AL19" s="98"/>
      <c r="AM19" s="93"/>
      <c r="AN19" s="98"/>
      <c r="AO19" s="93"/>
      <c r="AP19" s="98"/>
      <c r="AQ19" s="93"/>
      <c r="AR19" s="98"/>
      <c r="AS19" s="93"/>
      <c r="AT19" s="98"/>
    </row>
    <row r="20" spans="1:46" s="92" customFormat="1" ht="12.75">
      <c r="A20" s="92" t="s">
        <v>303</v>
      </c>
      <c r="B20" s="92">
        <v>16</v>
      </c>
      <c r="C20" s="92" t="s">
        <v>359</v>
      </c>
      <c r="D20" s="96">
        <v>0.1</v>
      </c>
      <c r="E20" s="93"/>
      <c r="F20" s="97">
        <v>0.0176</v>
      </c>
      <c r="G20" s="97">
        <f t="shared" si="0"/>
        <v>0.0176</v>
      </c>
      <c r="H20" s="97">
        <f t="shared" si="1"/>
        <v>0.0017600000000000003</v>
      </c>
      <c r="I20" s="93"/>
      <c r="J20" s="97">
        <v>0.00521</v>
      </c>
      <c r="K20" s="97">
        <f t="shared" si="2"/>
        <v>0.00521</v>
      </c>
      <c r="L20" s="97">
        <f t="shared" si="3"/>
        <v>0.0005210000000000001</v>
      </c>
      <c r="M20" s="93"/>
      <c r="N20" s="97">
        <v>0.0091</v>
      </c>
      <c r="O20" s="97">
        <f t="shared" si="4"/>
        <v>0.0091</v>
      </c>
      <c r="P20" s="97">
        <f t="shared" si="5"/>
        <v>0.0009100000000000001</v>
      </c>
      <c r="Q20" s="93"/>
      <c r="R20" s="97">
        <v>0.00495</v>
      </c>
      <c r="S20" s="97">
        <f t="shared" si="6"/>
        <v>0.00495</v>
      </c>
      <c r="T20" s="97">
        <f t="shared" si="7"/>
        <v>0.0004950000000000001</v>
      </c>
      <c r="U20" s="93"/>
      <c r="V20" s="97">
        <v>0.0157</v>
      </c>
      <c r="W20" s="97">
        <f t="shared" si="8"/>
        <v>0.0157</v>
      </c>
      <c r="X20" s="97">
        <f t="shared" si="9"/>
        <v>0.00157</v>
      </c>
      <c r="Y20" s="93"/>
      <c r="Z20" s="97"/>
      <c r="AA20" s="93"/>
      <c r="AB20" s="97"/>
      <c r="AC20" s="93"/>
      <c r="AD20" s="97"/>
      <c r="AE20" s="93"/>
      <c r="AF20" s="98"/>
      <c r="AG20" s="93"/>
      <c r="AH20" s="98"/>
      <c r="AI20" s="93"/>
      <c r="AJ20" s="98"/>
      <c r="AK20" s="93"/>
      <c r="AL20" s="98"/>
      <c r="AM20" s="93"/>
      <c r="AN20" s="98"/>
      <c r="AO20" s="93"/>
      <c r="AP20" s="98"/>
      <c r="AQ20" s="93"/>
      <c r="AR20" s="98"/>
      <c r="AS20" s="93"/>
      <c r="AT20" s="98"/>
    </row>
    <row r="21" spans="1:46" s="92" customFormat="1" ht="12.75">
      <c r="A21" s="92" t="s">
        <v>303</v>
      </c>
      <c r="B21" s="92">
        <v>17</v>
      </c>
      <c r="C21" s="92" t="s">
        <v>360</v>
      </c>
      <c r="D21" s="96">
        <v>0</v>
      </c>
      <c r="E21" s="93"/>
      <c r="F21" s="97">
        <v>0.427</v>
      </c>
      <c r="G21" s="97">
        <f t="shared" si="0"/>
        <v>0.427</v>
      </c>
      <c r="H21" s="97">
        <f t="shared" si="1"/>
        <v>0</v>
      </c>
      <c r="I21" s="93"/>
      <c r="J21" s="97">
        <v>0.163</v>
      </c>
      <c r="K21" s="97">
        <f t="shared" si="2"/>
        <v>0.163</v>
      </c>
      <c r="L21" s="97">
        <f t="shared" si="3"/>
        <v>0</v>
      </c>
      <c r="M21" s="93"/>
      <c r="N21" s="97">
        <v>0.284</v>
      </c>
      <c r="O21" s="97">
        <f t="shared" si="4"/>
        <v>0.284</v>
      </c>
      <c r="P21" s="97">
        <f t="shared" si="5"/>
        <v>0</v>
      </c>
      <c r="Q21" s="93"/>
      <c r="R21" s="97">
        <v>0.209</v>
      </c>
      <c r="S21" s="97">
        <f t="shared" si="6"/>
        <v>0.209</v>
      </c>
      <c r="T21" s="97">
        <f t="shared" si="7"/>
        <v>0</v>
      </c>
      <c r="U21" s="93"/>
      <c r="V21" s="97">
        <v>0.461</v>
      </c>
      <c r="W21" s="97">
        <f t="shared" si="8"/>
        <v>0.461</v>
      </c>
      <c r="X21" s="97">
        <f t="shared" si="9"/>
        <v>0</v>
      </c>
      <c r="Y21" s="93"/>
      <c r="Z21" s="97"/>
      <c r="AA21" s="93"/>
      <c r="AB21" s="97"/>
      <c r="AC21" s="93"/>
      <c r="AD21" s="97"/>
      <c r="AE21" s="93"/>
      <c r="AF21" s="98"/>
      <c r="AG21" s="93"/>
      <c r="AH21" s="98"/>
      <c r="AI21" s="93"/>
      <c r="AJ21" s="98"/>
      <c r="AK21" s="93"/>
      <c r="AL21" s="98"/>
      <c r="AM21" s="93"/>
      <c r="AN21" s="98"/>
      <c r="AO21" s="93"/>
      <c r="AP21" s="98"/>
      <c r="AQ21" s="93"/>
      <c r="AR21" s="98"/>
      <c r="AS21" s="93"/>
      <c r="AT21" s="98"/>
    </row>
    <row r="22" spans="1:46" s="92" customFormat="1" ht="12.75">
      <c r="A22" s="92" t="s">
        <v>303</v>
      </c>
      <c r="B22" s="92">
        <v>18</v>
      </c>
      <c r="C22" s="92" t="s">
        <v>361</v>
      </c>
      <c r="D22" s="96">
        <v>0</v>
      </c>
      <c r="E22" s="93"/>
      <c r="F22" s="97">
        <v>0.4446</v>
      </c>
      <c r="G22" s="97">
        <f t="shared" si="0"/>
        <v>0.4446</v>
      </c>
      <c r="H22" s="97">
        <f t="shared" si="1"/>
        <v>0</v>
      </c>
      <c r="I22" s="93"/>
      <c r="J22" s="97">
        <v>0.16821</v>
      </c>
      <c r="K22" s="97">
        <f t="shared" si="2"/>
        <v>0.16821</v>
      </c>
      <c r="L22" s="97">
        <f t="shared" si="3"/>
        <v>0</v>
      </c>
      <c r="M22" s="93"/>
      <c r="N22" s="97">
        <v>0.2931</v>
      </c>
      <c r="O22" s="97">
        <f t="shared" si="4"/>
        <v>0.2931</v>
      </c>
      <c r="P22" s="97">
        <f t="shared" si="5"/>
        <v>0</v>
      </c>
      <c r="Q22" s="93"/>
      <c r="R22" s="97">
        <v>0.21395</v>
      </c>
      <c r="S22" s="97">
        <f t="shared" si="6"/>
        <v>0.21395</v>
      </c>
      <c r="T22" s="97">
        <f t="shared" si="7"/>
        <v>0</v>
      </c>
      <c r="U22" s="93"/>
      <c r="V22" s="97">
        <v>0.4767</v>
      </c>
      <c r="W22" s="97">
        <f t="shared" si="8"/>
        <v>0.4767</v>
      </c>
      <c r="X22" s="97">
        <f t="shared" si="9"/>
        <v>0</v>
      </c>
      <c r="Y22" s="93"/>
      <c r="Z22" s="97"/>
      <c r="AA22" s="93"/>
      <c r="AB22" s="97"/>
      <c r="AC22" s="93"/>
      <c r="AD22" s="97"/>
      <c r="AE22" s="93"/>
      <c r="AF22" s="98"/>
      <c r="AG22" s="93"/>
      <c r="AH22" s="98"/>
      <c r="AI22" s="93"/>
      <c r="AJ22" s="98"/>
      <c r="AK22" s="93"/>
      <c r="AL22" s="98"/>
      <c r="AM22" s="93"/>
      <c r="AN22" s="98"/>
      <c r="AO22" s="93"/>
      <c r="AP22" s="98"/>
      <c r="AQ22" s="93"/>
      <c r="AR22" s="98"/>
      <c r="AS22" s="93"/>
      <c r="AT22" s="98"/>
    </row>
    <row r="23" spans="1:46" s="92" customFormat="1" ht="12.75">
      <c r="A23" s="92" t="s">
        <v>303</v>
      </c>
      <c r="B23" s="92">
        <v>19</v>
      </c>
      <c r="C23" s="92" t="s">
        <v>362</v>
      </c>
      <c r="D23" s="96">
        <v>0.05</v>
      </c>
      <c r="E23" s="93"/>
      <c r="F23" s="97">
        <v>0.0472</v>
      </c>
      <c r="G23" s="97">
        <f t="shared" si="0"/>
        <v>0.0472</v>
      </c>
      <c r="H23" s="97">
        <f t="shared" si="1"/>
        <v>0.00236</v>
      </c>
      <c r="I23" s="93"/>
      <c r="J23" s="97">
        <v>0.0174</v>
      </c>
      <c r="K23" s="97">
        <f t="shared" si="2"/>
        <v>0.0174</v>
      </c>
      <c r="L23" s="97">
        <f t="shared" si="3"/>
        <v>0.00087</v>
      </c>
      <c r="M23" s="93"/>
      <c r="N23" s="97">
        <v>0.0301</v>
      </c>
      <c r="O23" s="97">
        <f t="shared" si="4"/>
        <v>0.0301</v>
      </c>
      <c r="P23" s="97">
        <f t="shared" si="5"/>
        <v>0.001505</v>
      </c>
      <c r="Q23" s="93"/>
      <c r="R23" s="97">
        <v>0.0248</v>
      </c>
      <c r="S23" s="97">
        <f t="shared" si="6"/>
        <v>0.0248</v>
      </c>
      <c r="T23" s="97">
        <f t="shared" si="7"/>
        <v>0.00124</v>
      </c>
      <c r="U23" s="93"/>
      <c r="V23" s="97">
        <v>0.0409</v>
      </c>
      <c r="W23" s="97">
        <f t="shared" si="8"/>
        <v>0.0409</v>
      </c>
      <c r="X23" s="97">
        <f t="shared" si="9"/>
        <v>0.002045</v>
      </c>
      <c r="Y23" s="93"/>
      <c r="Z23" s="97"/>
      <c r="AA23" s="93"/>
      <c r="AB23" s="97"/>
      <c r="AC23" s="93"/>
      <c r="AD23" s="97"/>
      <c r="AE23" s="93"/>
      <c r="AF23" s="98"/>
      <c r="AG23" s="93"/>
      <c r="AH23" s="98"/>
      <c r="AI23" s="93"/>
      <c r="AJ23" s="98"/>
      <c r="AK23" s="93"/>
      <c r="AL23" s="98"/>
      <c r="AM23" s="93"/>
      <c r="AN23" s="98"/>
      <c r="AO23" s="93"/>
      <c r="AP23" s="98"/>
      <c r="AQ23" s="93"/>
      <c r="AR23" s="98"/>
      <c r="AS23" s="93"/>
      <c r="AT23" s="98"/>
    </row>
    <row r="24" spans="1:46" s="92" customFormat="1" ht="12.75">
      <c r="A24" s="92" t="s">
        <v>303</v>
      </c>
      <c r="B24" s="92">
        <v>20</v>
      </c>
      <c r="C24" s="92" t="s">
        <v>363</v>
      </c>
      <c r="D24" s="96">
        <v>0.5</v>
      </c>
      <c r="E24" s="93"/>
      <c r="F24" s="97">
        <v>0.0518</v>
      </c>
      <c r="G24" s="97">
        <f t="shared" si="0"/>
        <v>0.0518</v>
      </c>
      <c r="H24" s="97">
        <f t="shared" si="1"/>
        <v>0.0259</v>
      </c>
      <c r="I24" s="93"/>
      <c r="J24" s="97">
        <v>0.019</v>
      </c>
      <c r="K24" s="97">
        <f t="shared" si="2"/>
        <v>0.019</v>
      </c>
      <c r="L24" s="97">
        <f t="shared" si="3"/>
        <v>0.0095</v>
      </c>
      <c r="M24" s="93"/>
      <c r="N24" s="97">
        <v>0.029</v>
      </c>
      <c r="O24" s="97">
        <f t="shared" si="4"/>
        <v>0.029</v>
      </c>
      <c r="P24" s="97">
        <f t="shared" si="5"/>
        <v>0.0145</v>
      </c>
      <c r="Q24" s="93"/>
      <c r="R24" s="97">
        <v>0.0286</v>
      </c>
      <c r="S24" s="97">
        <f t="shared" si="6"/>
        <v>0.0286</v>
      </c>
      <c r="T24" s="97">
        <f t="shared" si="7"/>
        <v>0.0143</v>
      </c>
      <c r="U24" s="93"/>
      <c r="V24" s="97">
        <v>0.0382</v>
      </c>
      <c r="W24" s="97">
        <f t="shared" si="8"/>
        <v>0.0382</v>
      </c>
      <c r="X24" s="97">
        <f t="shared" si="9"/>
        <v>0.0191</v>
      </c>
      <c r="Y24" s="93"/>
      <c r="Z24" s="97"/>
      <c r="AA24" s="93"/>
      <c r="AB24" s="97"/>
      <c r="AC24" s="93"/>
      <c r="AD24" s="97"/>
      <c r="AE24" s="93"/>
      <c r="AF24" s="98"/>
      <c r="AG24" s="93"/>
      <c r="AH24" s="98"/>
      <c r="AI24" s="93"/>
      <c r="AJ24" s="98"/>
      <c r="AK24" s="93"/>
      <c r="AL24" s="98"/>
      <c r="AM24" s="93"/>
      <c r="AN24" s="98"/>
      <c r="AO24" s="93"/>
      <c r="AP24" s="98"/>
      <c r="AQ24" s="93"/>
      <c r="AR24" s="98"/>
      <c r="AS24" s="93"/>
      <c r="AT24" s="98"/>
    </row>
    <row r="25" spans="1:46" s="92" customFormat="1" ht="12.75">
      <c r="A25" s="92" t="s">
        <v>303</v>
      </c>
      <c r="B25" s="92">
        <v>21</v>
      </c>
      <c r="C25" s="92" t="s">
        <v>364</v>
      </c>
      <c r="D25" s="96">
        <v>0</v>
      </c>
      <c r="E25" s="93"/>
      <c r="F25" s="97">
        <v>0.682</v>
      </c>
      <c r="G25" s="97">
        <f t="shared" si="0"/>
        <v>0.682</v>
      </c>
      <c r="H25" s="97">
        <f t="shared" si="1"/>
        <v>0</v>
      </c>
      <c r="I25" s="93"/>
      <c r="J25" s="97">
        <v>0.347</v>
      </c>
      <c r="K25" s="97">
        <f t="shared" si="2"/>
        <v>0.347</v>
      </c>
      <c r="L25" s="97">
        <f t="shared" si="3"/>
        <v>0</v>
      </c>
      <c r="M25" s="93"/>
      <c r="N25" s="97">
        <v>0.409</v>
      </c>
      <c r="O25" s="97">
        <f t="shared" si="4"/>
        <v>0.409</v>
      </c>
      <c r="P25" s="97">
        <f t="shared" si="5"/>
        <v>0</v>
      </c>
      <c r="Q25" s="93"/>
      <c r="R25" s="97">
        <v>0.545</v>
      </c>
      <c r="S25" s="97">
        <f t="shared" si="6"/>
        <v>0.545</v>
      </c>
      <c r="T25" s="97">
        <f t="shared" si="7"/>
        <v>0</v>
      </c>
      <c r="U25" s="93"/>
      <c r="V25" s="97">
        <v>0.681</v>
      </c>
      <c r="W25" s="97">
        <f t="shared" si="8"/>
        <v>0.681</v>
      </c>
      <c r="X25" s="97">
        <f t="shared" si="9"/>
        <v>0</v>
      </c>
      <c r="Y25" s="93"/>
      <c r="Z25" s="97"/>
      <c r="AA25" s="93"/>
      <c r="AB25" s="97"/>
      <c r="AC25" s="93"/>
      <c r="AD25" s="97"/>
      <c r="AE25" s="93"/>
      <c r="AF25" s="98"/>
      <c r="AG25" s="93"/>
      <c r="AH25" s="98"/>
      <c r="AI25" s="93"/>
      <c r="AJ25" s="98"/>
      <c r="AK25" s="93"/>
      <c r="AL25" s="98"/>
      <c r="AM25" s="93"/>
      <c r="AN25" s="98"/>
      <c r="AO25" s="93"/>
      <c r="AP25" s="98"/>
      <c r="AQ25" s="93"/>
      <c r="AR25" s="98"/>
      <c r="AS25" s="93"/>
      <c r="AT25" s="98"/>
    </row>
    <row r="26" spans="1:46" s="92" customFormat="1" ht="12.75">
      <c r="A26" s="92" t="s">
        <v>303</v>
      </c>
      <c r="B26" s="92">
        <v>22</v>
      </c>
      <c r="C26" s="92" t="s">
        <v>365</v>
      </c>
      <c r="D26" s="96">
        <v>0</v>
      </c>
      <c r="E26" s="93"/>
      <c r="F26" s="97">
        <v>0.781</v>
      </c>
      <c r="G26" s="97">
        <f t="shared" si="0"/>
        <v>0.781</v>
      </c>
      <c r="H26" s="97">
        <f t="shared" si="1"/>
        <v>0</v>
      </c>
      <c r="I26" s="93"/>
      <c r="J26" s="97">
        <v>0.3834</v>
      </c>
      <c r="K26" s="97">
        <f t="shared" si="2"/>
        <v>0.3834</v>
      </c>
      <c r="L26" s="97">
        <f t="shared" si="3"/>
        <v>0</v>
      </c>
      <c r="M26" s="93"/>
      <c r="N26" s="97">
        <v>0.4681</v>
      </c>
      <c r="O26" s="97">
        <f t="shared" si="4"/>
        <v>0.4681</v>
      </c>
      <c r="P26" s="97">
        <f t="shared" si="5"/>
        <v>0</v>
      </c>
      <c r="Q26" s="93"/>
      <c r="R26" s="97">
        <v>0.5984</v>
      </c>
      <c r="S26" s="97">
        <f t="shared" si="6"/>
        <v>0.5984</v>
      </c>
      <c r="T26" s="97">
        <f t="shared" si="7"/>
        <v>0</v>
      </c>
      <c r="U26" s="93"/>
      <c r="V26" s="97">
        <v>0.7601</v>
      </c>
      <c r="W26" s="97">
        <f t="shared" si="8"/>
        <v>0.7601</v>
      </c>
      <c r="X26" s="97">
        <f t="shared" si="9"/>
        <v>0</v>
      </c>
      <c r="Y26" s="93"/>
      <c r="Z26" s="97"/>
      <c r="AA26" s="93"/>
      <c r="AB26" s="97"/>
      <c r="AC26" s="93"/>
      <c r="AD26" s="97"/>
      <c r="AE26" s="93"/>
      <c r="AF26" s="98"/>
      <c r="AG26" s="93"/>
      <c r="AH26" s="98"/>
      <c r="AI26" s="93"/>
      <c r="AJ26" s="98"/>
      <c r="AK26" s="93"/>
      <c r="AL26" s="98"/>
      <c r="AM26" s="93"/>
      <c r="AN26" s="98"/>
      <c r="AO26" s="93"/>
      <c r="AP26" s="98"/>
      <c r="AQ26" s="93"/>
      <c r="AR26" s="98"/>
      <c r="AS26" s="93"/>
      <c r="AT26" s="98"/>
    </row>
    <row r="27" spans="1:46" s="92" customFormat="1" ht="12.75">
      <c r="A27" s="92" t="s">
        <v>303</v>
      </c>
      <c r="B27" s="92">
        <v>23</v>
      </c>
      <c r="C27" s="92" t="s">
        <v>366</v>
      </c>
      <c r="D27" s="96">
        <v>0.1</v>
      </c>
      <c r="E27" s="93"/>
      <c r="F27" s="97">
        <v>0.108</v>
      </c>
      <c r="G27" s="97">
        <f t="shared" si="0"/>
        <v>0.108</v>
      </c>
      <c r="H27" s="97">
        <f t="shared" si="1"/>
        <v>0.0108</v>
      </c>
      <c r="I27" s="93"/>
      <c r="J27" s="97">
        <v>0.0651</v>
      </c>
      <c r="K27" s="97">
        <f t="shared" si="2"/>
        <v>0.0651</v>
      </c>
      <c r="L27" s="97">
        <f t="shared" si="3"/>
        <v>0.006510000000000001</v>
      </c>
      <c r="M27" s="93"/>
      <c r="N27" s="97">
        <v>0.0796</v>
      </c>
      <c r="O27" s="97">
        <f t="shared" si="4"/>
        <v>0.0796</v>
      </c>
      <c r="P27" s="97">
        <f t="shared" si="5"/>
        <v>0.00796</v>
      </c>
      <c r="Q27" s="93"/>
      <c r="R27" s="97">
        <v>0.0935</v>
      </c>
      <c r="S27" s="97">
        <f t="shared" si="6"/>
        <v>0.0935</v>
      </c>
      <c r="T27" s="97">
        <f t="shared" si="7"/>
        <v>0.00935</v>
      </c>
      <c r="U27" s="93"/>
      <c r="V27" s="97">
        <v>0.0943</v>
      </c>
      <c r="W27" s="97">
        <f t="shared" si="8"/>
        <v>0.0943</v>
      </c>
      <c r="X27" s="97">
        <f t="shared" si="9"/>
        <v>0.009430000000000001</v>
      </c>
      <c r="Y27" s="93"/>
      <c r="Z27" s="97"/>
      <c r="AA27" s="93"/>
      <c r="AB27" s="97"/>
      <c r="AC27" s="93"/>
      <c r="AD27" s="97"/>
      <c r="AE27" s="93"/>
      <c r="AF27" s="98"/>
      <c r="AG27" s="93"/>
      <c r="AH27" s="98"/>
      <c r="AI27" s="93"/>
      <c r="AJ27" s="98"/>
      <c r="AK27" s="93"/>
      <c r="AL27" s="98"/>
      <c r="AM27" s="93"/>
      <c r="AN27" s="98"/>
      <c r="AO27" s="93"/>
      <c r="AP27" s="98"/>
      <c r="AQ27" s="93"/>
      <c r="AR27" s="98"/>
      <c r="AS27" s="93"/>
      <c r="AT27" s="98"/>
    </row>
    <row r="28" spans="1:46" s="92" customFormat="1" ht="12.75">
      <c r="A28" s="92" t="s">
        <v>303</v>
      </c>
      <c r="B28" s="92">
        <v>24</v>
      </c>
      <c r="C28" s="92" t="s">
        <v>367</v>
      </c>
      <c r="D28" s="96">
        <v>0.1</v>
      </c>
      <c r="E28" s="93"/>
      <c r="F28" s="97">
        <v>0.108</v>
      </c>
      <c r="G28" s="97">
        <f t="shared" si="0"/>
        <v>0.108</v>
      </c>
      <c r="H28" s="97">
        <f t="shared" si="1"/>
        <v>0.0108</v>
      </c>
      <c r="I28" s="93"/>
      <c r="J28" s="97">
        <v>0.0596</v>
      </c>
      <c r="K28" s="97">
        <f t="shared" si="2"/>
        <v>0.0596</v>
      </c>
      <c r="L28" s="97">
        <f t="shared" si="3"/>
        <v>0.00596</v>
      </c>
      <c r="M28" s="93"/>
      <c r="N28" s="97">
        <v>0.0796</v>
      </c>
      <c r="O28" s="97">
        <f t="shared" si="4"/>
        <v>0.0796</v>
      </c>
      <c r="P28" s="97">
        <f t="shared" si="5"/>
        <v>0.00796</v>
      </c>
      <c r="Q28" s="93"/>
      <c r="R28" s="97">
        <v>0.0935</v>
      </c>
      <c r="S28" s="97">
        <f t="shared" si="6"/>
        <v>0.0935</v>
      </c>
      <c r="T28" s="97">
        <f t="shared" si="7"/>
        <v>0.00935</v>
      </c>
      <c r="U28" s="93"/>
      <c r="V28" s="97">
        <v>0.089</v>
      </c>
      <c r="W28" s="97">
        <f t="shared" si="8"/>
        <v>0.089</v>
      </c>
      <c r="X28" s="97">
        <f t="shared" si="9"/>
        <v>0.0089</v>
      </c>
      <c r="Y28" s="93"/>
      <c r="Z28" s="97"/>
      <c r="AA28" s="93"/>
      <c r="AB28" s="97"/>
      <c r="AC28" s="93"/>
      <c r="AD28" s="97"/>
      <c r="AE28" s="93"/>
      <c r="AF28" s="98"/>
      <c r="AG28" s="93"/>
      <c r="AH28" s="98"/>
      <c r="AI28" s="93"/>
      <c r="AJ28" s="98"/>
      <c r="AK28" s="93"/>
      <c r="AL28" s="98"/>
      <c r="AM28" s="93"/>
      <c r="AN28" s="98"/>
      <c r="AO28" s="93"/>
      <c r="AP28" s="98"/>
      <c r="AQ28" s="93"/>
      <c r="AR28" s="98"/>
      <c r="AS28" s="93"/>
      <c r="AT28" s="98"/>
    </row>
    <row r="29" spans="1:46" s="92" customFormat="1" ht="12.75">
      <c r="A29" s="92" t="s">
        <v>303</v>
      </c>
      <c r="B29" s="92">
        <v>25</v>
      </c>
      <c r="C29" s="92" t="s">
        <v>368</v>
      </c>
      <c r="D29" s="96">
        <v>0.1</v>
      </c>
      <c r="E29" s="93"/>
      <c r="F29" s="97">
        <v>0.0353</v>
      </c>
      <c r="G29" s="97">
        <f t="shared" si="0"/>
        <v>0.0353</v>
      </c>
      <c r="H29" s="97">
        <f t="shared" si="1"/>
        <v>0.00353</v>
      </c>
      <c r="I29" s="93"/>
      <c r="J29" s="97">
        <v>0.0119</v>
      </c>
      <c r="K29" s="97">
        <f t="shared" si="2"/>
        <v>0.0119</v>
      </c>
      <c r="L29" s="97">
        <f t="shared" si="3"/>
        <v>0.00119</v>
      </c>
      <c r="M29" s="93"/>
      <c r="N29" s="97">
        <v>0.0193</v>
      </c>
      <c r="O29" s="97">
        <f t="shared" si="4"/>
        <v>0.0193</v>
      </c>
      <c r="P29" s="97">
        <f t="shared" si="5"/>
        <v>0.0019300000000000003</v>
      </c>
      <c r="Q29" s="93"/>
      <c r="R29" s="97">
        <v>0.0231</v>
      </c>
      <c r="S29" s="97">
        <f t="shared" si="6"/>
        <v>0.0231</v>
      </c>
      <c r="T29" s="97">
        <f t="shared" si="7"/>
        <v>0.00231</v>
      </c>
      <c r="U29" s="93"/>
      <c r="V29" s="97">
        <v>0.0194</v>
      </c>
      <c r="W29" s="97">
        <f t="shared" si="8"/>
        <v>0.0194</v>
      </c>
      <c r="X29" s="97">
        <f t="shared" si="9"/>
        <v>0.00194</v>
      </c>
      <c r="Y29" s="93"/>
      <c r="Z29" s="97"/>
      <c r="AA29" s="93"/>
      <c r="AB29" s="97"/>
      <c r="AC29" s="93"/>
      <c r="AD29" s="97"/>
      <c r="AE29" s="93"/>
      <c r="AF29" s="98"/>
      <c r="AG29" s="93"/>
      <c r="AH29" s="98"/>
      <c r="AI29" s="93"/>
      <c r="AJ29" s="98"/>
      <c r="AK29" s="93"/>
      <c r="AL29" s="98"/>
      <c r="AM29" s="93"/>
      <c r="AN29" s="98"/>
      <c r="AO29" s="93"/>
      <c r="AP29" s="98"/>
      <c r="AQ29" s="93"/>
      <c r="AR29" s="98"/>
      <c r="AS29" s="93"/>
      <c r="AT29" s="98"/>
    </row>
    <row r="30" spans="1:46" s="92" customFormat="1" ht="12.75">
      <c r="A30" s="92" t="s">
        <v>303</v>
      </c>
      <c r="B30" s="92">
        <v>26</v>
      </c>
      <c r="C30" s="92" t="s">
        <v>369</v>
      </c>
      <c r="D30" s="96">
        <v>0.1</v>
      </c>
      <c r="E30" s="93"/>
      <c r="F30" s="97">
        <v>0.119</v>
      </c>
      <c r="G30" s="97">
        <f t="shared" si="0"/>
        <v>0.119</v>
      </c>
      <c r="H30" s="97">
        <f t="shared" si="1"/>
        <v>0.0119</v>
      </c>
      <c r="I30" s="93"/>
      <c r="J30" s="97">
        <v>0.0651</v>
      </c>
      <c r="K30" s="97">
        <f t="shared" si="2"/>
        <v>0.0651</v>
      </c>
      <c r="L30" s="97">
        <f t="shared" si="3"/>
        <v>0.006510000000000001</v>
      </c>
      <c r="M30" s="93"/>
      <c r="N30" s="97">
        <v>0.0853</v>
      </c>
      <c r="O30" s="97">
        <f t="shared" si="4"/>
        <v>0.0853</v>
      </c>
      <c r="P30" s="97">
        <f t="shared" si="5"/>
        <v>0.008530000000000001</v>
      </c>
      <c r="Q30" s="93"/>
      <c r="R30" s="97">
        <v>0.11</v>
      </c>
      <c r="S30" s="97">
        <f t="shared" si="6"/>
        <v>0.11</v>
      </c>
      <c r="T30" s="97">
        <f t="shared" si="7"/>
        <v>0.011000000000000001</v>
      </c>
      <c r="U30" s="93"/>
      <c r="V30" s="97">
        <v>0.089</v>
      </c>
      <c r="W30" s="97">
        <f t="shared" si="8"/>
        <v>0.089</v>
      </c>
      <c r="X30" s="97">
        <f t="shared" si="9"/>
        <v>0.0089</v>
      </c>
      <c r="Y30" s="93"/>
      <c r="Z30" s="97"/>
      <c r="AA30" s="93"/>
      <c r="AB30" s="97"/>
      <c r="AC30" s="93"/>
      <c r="AD30" s="97"/>
      <c r="AE30" s="93"/>
      <c r="AF30" s="98"/>
      <c r="AG30" s="93"/>
      <c r="AH30" s="98"/>
      <c r="AI30" s="93"/>
      <c r="AJ30" s="98"/>
      <c r="AK30" s="93"/>
      <c r="AL30" s="98"/>
      <c r="AM30" s="93"/>
      <c r="AN30" s="98"/>
      <c r="AO30" s="93"/>
      <c r="AP30" s="98"/>
      <c r="AQ30" s="93"/>
      <c r="AR30" s="98"/>
      <c r="AS30" s="93"/>
      <c r="AT30" s="98"/>
    </row>
    <row r="31" spans="1:46" s="92" customFormat="1" ht="12.75">
      <c r="A31" s="92" t="s">
        <v>303</v>
      </c>
      <c r="B31" s="92">
        <v>27</v>
      </c>
      <c r="C31" s="92" t="s">
        <v>370</v>
      </c>
      <c r="D31" s="96">
        <v>0</v>
      </c>
      <c r="E31" s="93"/>
      <c r="F31" s="97">
        <v>1.02</v>
      </c>
      <c r="G31" s="97">
        <f t="shared" si="0"/>
        <v>1.02</v>
      </c>
      <c r="H31" s="97">
        <f t="shared" si="1"/>
        <v>0</v>
      </c>
      <c r="I31" s="93"/>
      <c r="J31" s="97">
        <v>0.651</v>
      </c>
      <c r="K31" s="97">
        <f t="shared" si="2"/>
        <v>0.651</v>
      </c>
      <c r="L31" s="97">
        <f t="shared" si="3"/>
        <v>0</v>
      </c>
      <c r="M31" s="93"/>
      <c r="N31" s="97">
        <v>0.796</v>
      </c>
      <c r="O31" s="97">
        <f t="shared" si="4"/>
        <v>0.796</v>
      </c>
      <c r="P31" s="97">
        <f t="shared" si="5"/>
        <v>0</v>
      </c>
      <c r="Q31" s="93"/>
      <c r="R31" s="97">
        <v>1.05</v>
      </c>
      <c r="S31" s="97">
        <f t="shared" si="6"/>
        <v>1.05</v>
      </c>
      <c r="T31" s="97">
        <f t="shared" si="7"/>
        <v>0</v>
      </c>
      <c r="U31" s="93"/>
      <c r="V31" s="97">
        <v>0.943</v>
      </c>
      <c r="W31" s="97">
        <f t="shared" si="8"/>
        <v>0.943</v>
      </c>
      <c r="X31" s="97">
        <f t="shared" si="9"/>
        <v>0</v>
      </c>
      <c r="Y31" s="93"/>
      <c r="Z31" s="97"/>
      <c r="AA31" s="93"/>
      <c r="AB31" s="97"/>
      <c r="AC31" s="93"/>
      <c r="AD31" s="97"/>
      <c r="AE31" s="93"/>
      <c r="AF31" s="98"/>
      <c r="AG31" s="93"/>
      <c r="AH31" s="98"/>
      <c r="AI31" s="93"/>
      <c r="AJ31" s="98"/>
      <c r="AK31" s="93"/>
      <c r="AL31" s="98"/>
      <c r="AM31" s="93"/>
      <c r="AN31" s="98"/>
      <c r="AO31" s="93"/>
      <c r="AP31" s="98"/>
      <c r="AQ31" s="93"/>
      <c r="AR31" s="98"/>
      <c r="AS31" s="93"/>
      <c r="AT31" s="98"/>
    </row>
    <row r="32" spans="1:46" s="92" customFormat="1" ht="12.75">
      <c r="A32" s="92" t="s">
        <v>303</v>
      </c>
      <c r="B32" s="92">
        <v>28</v>
      </c>
      <c r="C32" s="92" t="s">
        <v>371</v>
      </c>
      <c r="D32" s="96">
        <v>0</v>
      </c>
      <c r="E32" s="93"/>
      <c r="F32" s="97">
        <v>1.3903</v>
      </c>
      <c r="G32" s="97">
        <f t="shared" si="0"/>
        <v>1.3903</v>
      </c>
      <c r="H32" s="97">
        <f t="shared" si="1"/>
        <v>0</v>
      </c>
      <c r="I32" s="93"/>
      <c r="J32" s="97">
        <v>0.8527</v>
      </c>
      <c r="K32" s="97">
        <f t="shared" si="2"/>
        <v>0.8527</v>
      </c>
      <c r="L32" s="97">
        <f t="shared" si="3"/>
        <v>0</v>
      </c>
      <c r="M32" s="93"/>
      <c r="N32" s="97">
        <v>1.0598</v>
      </c>
      <c r="O32" s="97">
        <f t="shared" si="4"/>
        <v>1.0598</v>
      </c>
      <c r="P32" s="97">
        <f t="shared" si="5"/>
        <v>0</v>
      </c>
      <c r="Q32" s="93"/>
      <c r="R32" s="97">
        <v>1.3701</v>
      </c>
      <c r="S32" s="97">
        <f t="shared" si="6"/>
        <v>1.3701</v>
      </c>
      <c r="T32" s="97">
        <f t="shared" si="7"/>
        <v>0</v>
      </c>
      <c r="U32" s="93"/>
      <c r="V32" s="97">
        <v>1.2347</v>
      </c>
      <c r="W32" s="97">
        <f t="shared" si="8"/>
        <v>1.2347</v>
      </c>
      <c r="X32" s="97">
        <f t="shared" si="9"/>
        <v>0</v>
      </c>
      <c r="Y32" s="93"/>
      <c r="Z32" s="97"/>
      <c r="AA32" s="93"/>
      <c r="AB32" s="97"/>
      <c r="AC32" s="93"/>
      <c r="AD32" s="97"/>
      <c r="AE32" s="93"/>
      <c r="AF32" s="98"/>
      <c r="AG32" s="93"/>
      <c r="AH32" s="98"/>
      <c r="AI32" s="93"/>
      <c r="AJ32" s="98"/>
      <c r="AK32" s="93"/>
      <c r="AL32" s="98"/>
      <c r="AM32" s="93"/>
      <c r="AN32" s="98"/>
      <c r="AO32" s="93"/>
      <c r="AP32" s="98"/>
      <c r="AQ32" s="93"/>
      <c r="AR32" s="98"/>
      <c r="AS32" s="93"/>
      <c r="AT32" s="98"/>
    </row>
    <row r="33" spans="1:46" s="92" customFormat="1" ht="12.75">
      <c r="A33" s="92" t="s">
        <v>303</v>
      </c>
      <c r="B33" s="92">
        <v>29</v>
      </c>
      <c r="C33" s="92" t="s">
        <v>372</v>
      </c>
      <c r="D33" s="96">
        <v>0.01</v>
      </c>
      <c r="E33" s="93"/>
      <c r="F33" s="97">
        <v>0.626</v>
      </c>
      <c r="G33" s="97">
        <f t="shared" si="0"/>
        <v>0.626</v>
      </c>
      <c r="H33" s="97">
        <f t="shared" si="1"/>
        <v>0.00626</v>
      </c>
      <c r="I33" s="93"/>
      <c r="J33" s="97">
        <v>0.369</v>
      </c>
      <c r="K33" s="97">
        <f t="shared" si="2"/>
        <v>0.369</v>
      </c>
      <c r="L33" s="97">
        <f t="shared" si="3"/>
        <v>0.00369</v>
      </c>
      <c r="M33" s="93"/>
      <c r="N33" s="97">
        <v>0.455</v>
      </c>
      <c r="O33" s="97">
        <f t="shared" si="4"/>
        <v>0.455</v>
      </c>
      <c r="P33" s="97">
        <f t="shared" si="5"/>
        <v>0.00455</v>
      </c>
      <c r="Q33" s="93"/>
      <c r="R33" s="97">
        <v>0.605</v>
      </c>
      <c r="S33" s="97">
        <f t="shared" si="6"/>
        <v>0.605</v>
      </c>
      <c r="T33" s="97">
        <f t="shared" si="7"/>
        <v>0.00605</v>
      </c>
      <c r="U33" s="93"/>
      <c r="V33" s="97">
        <v>0.461</v>
      </c>
      <c r="W33" s="97">
        <f t="shared" si="8"/>
        <v>0.461</v>
      </c>
      <c r="X33" s="97">
        <f t="shared" si="9"/>
        <v>0.00461</v>
      </c>
      <c r="Y33" s="93"/>
      <c r="Z33" s="97"/>
      <c r="AA33" s="93"/>
      <c r="AB33" s="97"/>
      <c r="AC33" s="93"/>
      <c r="AD33" s="97"/>
      <c r="AE33" s="93"/>
      <c r="AF33" s="98"/>
      <c r="AG33" s="93"/>
      <c r="AH33" s="98"/>
      <c r="AI33" s="93"/>
      <c r="AJ33" s="98"/>
      <c r="AK33" s="93"/>
      <c r="AL33" s="98"/>
      <c r="AM33" s="93"/>
      <c r="AN33" s="98"/>
      <c r="AO33" s="93"/>
      <c r="AP33" s="98"/>
      <c r="AQ33" s="93"/>
      <c r="AR33" s="98"/>
      <c r="AS33" s="93"/>
      <c r="AT33" s="98"/>
    </row>
    <row r="34" spans="1:46" s="92" customFormat="1" ht="12.75">
      <c r="A34" s="92" t="s">
        <v>303</v>
      </c>
      <c r="B34" s="92">
        <v>30</v>
      </c>
      <c r="C34" s="92" t="s">
        <v>373</v>
      </c>
      <c r="D34" s="96">
        <v>0.01</v>
      </c>
      <c r="E34" s="93"/>
      <c r="F34" s="97">
        <v>0.0853</v>
      </c>
      <c r="G34" s="97">
        <f t="shared" si="0"/>
        <v>0.0853</v>
      </c>
      <c r="H34" s="97">
        <f t="shared" si="1"/>
        <v>0.000853</v>
      </c>
      <c r="I34" s="93"/>
      <c r="J34" s="97">
        <v>0.0352</v>
      </c>
      <c r="K34" s="97">
        <f t="shared" si="2"/>
        <v>0.0352</v>
      </c>
      <c r="L34" s="97">
        <f t="shared" si="3"/>
        <v>0.00035200000000000005</v>
      </c>
      <c r="M34" s="93"/>
      <c r="N34" s="97">
        <v>0.0483</v>
      </c>
      <c r="O34" s="97">
        <f t="shared" si="4"/>
        <v>0.0483</v>
      </c>
      <c r="P34" s="97">
        <f t="shared" si="5"/>
        <v>0.00048300000000000003</v>
      </c>
      <c r="Q34" s="93"/>
      <c r="R34" s="97">
        <v>0.0605</v>
      </c>
      <c r="S34" s="97">
        <f t="shared" si="6"/>
        <v>0.0605</v>
      </c>
      <c r="T34" s="97">
        <f t="shared" si="7"/>
        <v>0.000605</v>
      </c>
      <c r="U34" s="93"/>
      <c r="V34" s="97">
        <v>0.043</v>
      </c>
      <c r="W34" s="97">
        <f t="shared" si="8"/>
        <v>0.043</v>
      </c>
      <c r="X34" s="97">
        <f t="shared" si="9"/>
        <v>0.00043</v>
      </c>
      <c r="Y34" s="93"/>
      <c r="Z34" s="97"/>
      <c r="AA34" s="93"/>
      <c r="AB34" s="97"/>
      <c r="AC34" s="93"/>
      <c r="AD34" s="97"/>
      <c r="AE34" s="93"/>
      <c r="AF34" s="98"/>
      <c r="AG34" s="93"/>
      <c r="AH34" s="98"/>
      <c r="AI34" s="93"/>
      <c r="AJ34" s="98"/>
      <c r="AK34" s="93"/>
      <c r="AL34" s="98"/>
      <c r="AM34" s="93"/>
      <c r="AN34" s="98"/>
      <c r="AO34" s="93"/>
      <c r="AP34" s="98"/>
      <c r="AQ34" s="93"/>
      <c r="AR34" s="98"/>
      <c r="AS34" s="93"/>
      <c r="AT34" s="98"/>
    </row>
    <row r="35" spans="1:46" s="92" customFormat="1" ht="12.75">
      <c r="A35" s="92" t="s">
        <v>303</v>
      </c>
      <c r="B35" s="92">
        <v>31</v>
      </c>
      <c r="C35" s="92" t="s">
        <v>374</v>
      </c>
      <c r="D35" s="96">
        <v>0</v>
      </c>
      <c r="E35" s="93"/>
      <c r="F35" s="97">
        <v>1.19</v>
      </c>
      <c r="G35" s="97">
        <f t="shared" si="0"/>
        <v>1.19</v>
      </c>
      <c r="H35" s="97">
        <f t="shared" si="1"/>
        <v>0</v>
      </c>
      <c r="I35" s="93"/>
      <c r="J35" s="97">
        <v>0.705</v>
      </c>
      <c r="K35" s="97">
        <f t="shared" si="2"/>
        <v>0.705</v>
      </c>
      <c r="L35" s="97">
        <f t="shared" si="3"/>
        <v>0</v>
      </c>
      <c r="M35" s="93"/>
      <c r="N35" s="97">
        <v>0.853</v>
      </c>
      <c r="O35" s="97">
        <f t="shared" si="4"/>
        <v>0.853</v>
      </c>
      <c r="P35" s="97">
        <f t="shared" si="5"/>
        <v>0</v>
      </c>
      <c r="Q35" s="93"/>
      <c r="R35" s="97">
        <v>1.1</v>
      </c>
      <c r="S35" s="97">
        <f t="shared" si="6"/>
        <v>1.1</v>
      </c>
      <c r="T35" s="97">
        <f t="shared" si="7"/>
        <v>0</v>
      </c>
      <c r="U35" s="93"/>
      <c r="V35" s="97">
        <v>0.838</v>
      </c>
      <c r="W35" s="97">
        <f t="shared" si="8"/>
        <v>0.838</v>
      </c>
      <c r="X35" s="97">
        <f t="shared" si="9"/>
        <v>0</v>
      </c>
      <c r="Y35" s="93"/>
      <c r="Z35" s="97"/>
      <c r="AA35" s="93"/>
      <c r="AB35" s="97"/>
      <c r="AC35" s="93"/>
      <c r="AD35" s="97"/>
      <c r="AE35" s="93"/>
      <c r="AF35" s="98"/>
      <c r="AG35" s="93"/>
      <c r="AH35" s="98"/>
      <c r="AI35" s="93"/>
      <c r="AJ35" s="98"/>
      <c r="AK35" s="93"/>
      <c r="AL35" s="98"/>
      <c r="AM35" s="93"/>
      <c r="AN35" s="98"/>
      <c r="AO35" s="93"/>
      <c r="AP35" s="98"/>
      <c r="AQ35" s="93"/>
      <c r="AR35" s="98"/>
      <c r="AS35" s="93"/>
      <c r="AT35" s="98"/>
    </row>
    <row r="36" spans="1:46" s="92" customFormat="1" ht="12.75">
      <c r="A36" s="92" t="s">
        <v>303</v>
      </c>
      <c r="B36" s="92">
        <v>32</v>
      </c>
      <c r="C36" s="92" t="s">
        <v>375</v>
      </c>
      <c r="D36" s="96">
        <v>0</v>
      </c>
      <c r="E36" s="93"/>
      <c r="F36" s="97">
        <v>1.9013</v>
      </c>
      <c r="G36" s="97">
        <f t="shared" si="0"/>
        <v>1.9013</v>
      </c>
      <c r="H36" s="97">
        <f t="shared" si="1"/>
        <v>0</v>
      </c>
      <c r="I36" s="93"/>
      <c r="J36" s="97">
        <v>1.1092</v>
      </c>
      <c r="K36" s="97">
        <f t="shared" si="2"/>
        <v>1.1092</v>
      </c>
      <c r="L36" s="97">
        <f t="shared" si="3"/>
        <v>0</v>
      </c>
      <c r="M36" s="93"/>
      <c r="N36" s="97">
        <v>1.3563</v>
      </c>
      <c r="O36" s="97">
        <f t="shared" si="4"/>
        <v>1.3563</v>
      </c>
      <c r="P36" s="97">
        <f t="shared" si="5"/>
        <v>0</v>
      </c>
      <c r="Q36" s="93"/>
      <c r="R36" s="97">
        <v>1.7655</v>
      </c>
      <c r="S36" s="97">
        <f t="shared" si="6"/>
        <v>1.7655</v>
      </c>
      <c r="T36" s="97">
        <f t="shared" si="7"/>
        <v>0</v>
      </c>
      <c r="U36" s="93"/>
      <c r="V36" s="97">
        <v>1.342</v>
      </c>
      <c r="W36" s="97">
        <f t="shared" si="8"/>
        <v>1.342</v>
      </c>
      <c r="X36" s="97">
        <f t="shared" si="9"/>
        <v>0</v>
      </c>
      <c r="Y36" s="93"/>
      <c r="Z36" s="97"/>
      <c r="AA36" s="93"/>
      <c r="AB36" s="97"/>
      <c r="AC36" s="93"/>
      <c r="AD36" s="97"/>
      <c r="AE36" s="93"/>
      <c r="AF36" s="98"/>
      <c r="AG36" s="93"/>
      <c r="AH36" s="98"/>
      <c r="AI36" s="93"/>
      <c r="AJ36" s="98"/>
      <c r="AK36" s="93"/>
      <c r="AL36" s="98"/>
      <c r="AM36" s="93"/>
      <c r="AN36" s="98"/>
      <c r="AO36" s="93"/>
      <c r="AP36" s="98"/>
      <c r="AQ36" s="93"/>
      <c r="AR36" s="98"/>
      <c r="AS36" s="93"/>
      <c r="AT36" s="98"/>
    </row>
    <row r="37" spans="1:46" s="92" customFormat="1" ht="12.75">
      <c r="A37" s="92" t="s">
        <v>303</v>
      </c>
      <c r="B37" s="92">
        <v>33</v>
      </c>
      <c r="C37" s="92" t="s">
        <v>376</v>
      </c>
      <c r="D37" s="96">
        <v>0.001</v>
      </c>
      <c r="E37" s="93"/>
      <c r="F37" s="97">
        <v>0.557</v>
      </c>
      <c r="G37" s="97">
        <f t="shared" si="0"/>
        <v>0.557</v>
      </c>
      <c r="H37" s="97">
        <f t="shared" si="1"/>
        <v>0.0005570000000000001</v>
      </c>
      <c r="I37" s="93"/>
      <c r="J37" s="97">
        <v>0.239</v>
      </c>
      <c r="K37" s="97">
        <f t="shared" si="2"/>
        <v>0.239</v>
      </c>
      <c r="L37" s="97">
        <f t="shared" si="3"/>
        <v>0.00023899999999999998</v>
      </c>
      <c r="M37" s="93"/>
      <c r="N37" s="97">
        <v>0.301</v>
      </c>
      <c r="O37" s="97">
        <f t="shared" si="4"/>
        <v>0.301</v>
      </c>
      <c r="P37" s="97">
        <f t="shared" si="5"/>
        <v>0.000301</v>
      </c>
      <c r="Q37" s="93"/>
      <c r="R37" s="97">
        <v>0.407</v>
      </c>
      <c r="S37" s="97">
        <f t="shared" si="6"/>
        <v>0.407</v>
      </c>
      <c r="T37" s="97">
        <f t="shared" si="7"/>
        <v>0.00040699999999999997</v>
      </c>
      <c r="U37" s="93"/>
      <c r="V37" s="97">
        <v>0.23</v>
      </c>
      <c r="W37" s="97">
        <f t="shared" si="8"/>
        <v>0.23</v>
      </c>
      <c r="X37" s="97">
        <f t="shared" si="9"/>
        <v>0.00023</v>
      </c>
      <c r="Y37" s="93"/>
      <c r="Z37" s="97"/>
      <c r="AA37" s="93"/>
      <c r="AB37" s="97"/>
      <c r="AC37" s="93"/>
      <c r="AD37" s="97"/>
      <c r="AE37" s="93"/>
      <c r="AF37" s="98"/>
      <c r="AG37" s="93"/>
      <c r="AH37" s="98"/>
      <c r="AI37" s="93"/>
      <c r="AJ37" s="98"/>
      <c r="AK37" s="93"/>
      <c r="AL37" s="98"/>
      <c r="AM37" s="93"/>
      <c r="AN37" s="98"/>
      <c r="AO37" s="93"/>
      <c r="AP37" s="98"/>
      <c r="AQ37" s="93"/>
      <c r="AR37" s="98"/>
      <c r="AS37" s="93"/>
      <c r="AT37" s="98"/>
    </row>
    <row r="38" spans="1:46" s="92" customFormat="1" ht="12.75">
      <c r="A38" s="92" t="s">
        <v>303</v>
      </c>
      <c r="B38" s="92">
        <v>34</v>
      </c>
      <c r="C38" s="92" t="s">
        <v>377</v>
      </c>
      <c r="D38" s="96"/>
      <c r="E38" s="93"/>
      <c r="F38" s="97">
        <v>8.76826</v>
      </c>
      <c r="G38" s="97">
        <f>SUM(G37,G36,G32,G26,G22,G19,G18,G15,G10,G7)</f>
        <v>8.76826</v>
      </c>
      <c r="H38" s="97"/>
      <c r="I38" s="93"/>
      <c r="J38" s="97">
        <v>3.2367</v>
      </c>
      <c r="K38" s="97">
        <f>SUM(K37,K36,K32,K26,K22,K19,K18,K15,K10,K7)</f>
        <v>3.2367</v>
      </c>
      <c r="L38" s="97"/>
      <c r="M38" s="93"/>
      <c r="N38" s="97">
        <v>4.79393</v>
      </c>
      <c r="O38" s="97">
        <f>SUM(O37,O36,O32,O26,O22,O19,O18,O15,O10,O7)</f>
        <v>4.793930000000001</v>
      </c>
      <c r="P38" s="97"/>
      <c r="Q38" s="93"/>
      <c r="R38" s="97">
        <v>4.97608</v>
      </c>
      <c r="S38" s="97">
        <f>SUM(S37,S36,S32,S26,S22,S19,S18,S15,S10,S7)</f>
        <v>4.97608</v>
      </c>
      <c r="T38" s="97"/>
      <c r="U38" s="93"/>
      <c r="V38" s="97">
        <v>4.89174</v>
      </c>
      <c r="W38" s="97">
        <f>SUM(W37,W36,W32,W26,W22,W19,W18,W15,W10,W7)</f>
        <v>4.891739999999999</v>
      </c>
      <c r="X38" s="97"/>
      <c r="Y38" s="93"/>
      <c r="Z38" s="97"/>
      <c r="AA38" s="93"/>
      <c r="AB38" s="97"/>
      <c r="AC38" s="93"/>
      <c r="AD38" s="97"/>
      <c r="AE38" s="93"/>
      <c r="AF38" s="98"/>
      <c r="AG38" s="93"/>
      <c r="AH38" s="98"/>
      <c r="AI38" s="93"/>
      <c r="AJ38" s="98"/>
      <c r="AK38" s="93"/>
      <c r="AL38" s="98"/>
      <c r="AM38" s="93"/>
      <c r="AN38" s="98"/>
      <c r="AO38" s="93"/>
      <c r="AP38" s="98"/>
      <c r="AQ38" s="93"/>
      <c r="AR38" s="98"/>
      <c r="AS38" s="93"/>
      <c r="AT38" s="98"/>
    </row>
    <row r="39" spans="1:46" s="92" customFormat="1" ht="12.75">
      <c r="A39" s="92" t="s">
        <v>303</v>
      </c>
      <c r="B39" s="92">
        <v>35</v>
      </c>
      <c r="C39" s="92" t="s">
        <v>27</v>
      </c>
      <c r="D39" s="96"/>
      <c r="E39" s="94">
        <f>(F39-H39)*2/F39*100</f>
        <v>4.585609967829177</v>
      </c>
      <c r="F39" s="97">
        <v>0.097915</v>
      </c>
      <c r="G39" s="97"/>
      <c r="H39" s="97">
        <f>SUM(H5:H37)</f>
        <v>0.09567000000000003</v>
      </c>
      <c r="I39" s="94">
        <f>(J39-L39)*2/J39*100</f>
        <v>3.8608139677855693</v>
      </c>
      <c r="J39" s="97">
        <v>0.040665</v>
      </c>
      <c r="K39" s="97"/>
      <c r="L39" s="97">
        <f>SUM(L5:L37)</f>
        <v>0.03988</v>
      </c>
      <c r="M39" s="94">
        <f>(N39-P39)*2/N39*100</f>
        <v>4.924979956476897</v>
      </c>
      <c r="N39" s="97">
        <v>0.061117</v>
      </c>
      <c r="O39" s="97"/>
      <c r="P39" s="97">
        <f>SUM(P5:P37)</f>
        <v>0.059612000000000005</v>
      </c>
      <c r="Q39" s="94">
        <f>(R39-T39)*2/R39*100</f>
        <v>5.2219321148825095</v>
      </c>
      <c r="R39" s="97">
        <v>0.064344</v>
      </c>
      <c r="S39" s="97"/>
      <c r="T39" s="97">
        <f>SUM(T5:T37)</f>
        <v>0.062664</v>
      </c>
      <c r="U39" s="94">
        <f>(V39-X39)*2/V39*100</f>
        <v>6.5254225421142165</v>
      </c>
      <c r="V39" s="97">
        <v>0.071413</v>
      </c>
      <c r="W39" s="97"/>
      <c r="X39" s="97">
        <f>SUM(X5:X37)</f>
        <v>0.06908299999999999</v>
      </c>
      <c r="Y39" s="93"/>
      <c r="Z39" s="97"/>
      <c r="AA39" s="93"/>
      <c r="AB39" s="97"/>
      <c r="AC39" s="93"/>
      <c r="AD39" s="97"/>
      <c r="AE39" s="93"/>
      <c r="AF39" s="98"/>
      <c r="AG39" s="93"/>
      <c r="AH39" s="98"/>
      <c r="AI39" s="93"/>
      <c r="AJ39" s="98"/>
      <c r="AK39" s="93"/>
      <c r="AL39" s="98"/>
      <c r="AM39" s="93"/>
      <c r="AN39" s="98"/>
      <c r="AO39" s="93"/>
      <c r="AP39" s="98"/>
      <c r="AQ39" s="93"/>
      <c r="AR39" s="98"/>
      <c r="AS39" s="93"/>
      <c r="AT39" s="98"/>
    </row>
  </sheetData>
  <printOptions headings="1" horizontalCentered="1"/>
  <pageMargins left="0.25" right="0.25" top="0.5" bottom="0.5" header="0.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R39"/>
  <sheetViews>
    <sheetView workbookViewId="0" topLeftCell="C1">
      <selection activeCell="B2" sqref="B2"/>
    </sheetView>
  </sheetViews>
  <sheetFormatPr defaultColWidth="9.140625" defaultRowHeight="12.75"/>
  <cols>
    <col min="1" max="1" width="9.140625" style="0" hidden="1" customWidth="1"/>
    <col min="2" max="2" width="5.57421875" style="0" hidden="1" customWidth="1"/>
    <col min="3" max="3" width="15.7109375" style="0" customWidth="1"/>
    <col min="4" max="4" width="7.00390625" style="95" customWidth="1"/>
    <col min="5" max="5" width="3.57421875" style="0" customWidth="1"/>
    <col min="6" max="6" width="7.140625" style="0" bestFit="1" customWidth="1"/>
    <col min="7" max="8" width="6.7109375" style="69" bestFit="1" customWidth="1"/>
    <col min="9" max="9" width="3.57421875" style="0" bestFit="1" customWidth="1"/>
    <col min="10" max="10" width="7.140625" style="0" bestFit="1" customWidth="1"/>
    <col min="11" max="12" width="6.7109375" style="69" bestFit="1" customWidth="1"/>
    <col min="13" max="13" width="3.421875" style="0" customWidth="1"/>
    <col min="14" max="14" width="7.140625" style="0" bestFit="1" customWidth="1"/>
    <col min="15" max="15" width="7.7109375" style="69" customWidth="1"/>
    <col min="16" max="16" width="8.28125" style="69" customWidth="1"/>
    <col min="17" max="17" width="3.28125" style="0" customWidth="1"/>
    <col min="19" max="19" width="7.7109375" style="69" customWidth="1"/>
    <col min="20" max="20" width="8.28125" style="69" customWidth="1"/>
    <col min="21" max="21" width="4.28125" style="0" customWidth="1"/>
    <col min="22" max="22" width="7.140625" style="0" bestFit="1" customWidth="1"/>
    <col min="24" max="24" width="6.7109375" style="0" bestFit="1" customWidth="1"/>
  </cols>
  <sheetData>
    <row r="1" ht="12.75">
      <c r="C1" s="6" t="s">
        <v>306</v>
      </c>
    </row>
    <row r="2" spans="5:24" ht="12.75">
      <c r="E2" s="133"/>
      <c r="F2" s="133" t="s">
        <v>54</v>
      </c>
      <c r="G2" s="134"/>
      <c r="H2" s="134"/>
      <c r="I2" s="119"/>
      <c r="J2" s="133" t="s">
        <v>109</v>
      </c>
      <c r="K2" s="134"/>
      <c r="L2" s="134"/>
      <c r="M2" s="119"/>
      <c r="N2" s="133" t="s">
        <v>55</v>
      </c>
      <c r="O2" s="134"/>
      <c r="P2" s="134"/>
      <c r="Q2" s="119"/>
      <c r="R2" s="133" t="s">
        <v>164</v>
      </c>
      <c r="S2" s="134"/>
      <c r="T2" s="134"/>
      <c r="U2" s="119"/>
      <c r="V2" s="133" t="s">
        <v>165</v>
      </c>
      <c r="W2" s="134"/>
      <c r="X2" s="134"/>
    </row>
    <row r="3" spans="4:24" ht="12.75">
      <c r="D3" s="95" t="s">
        <v>23</v>
      </c>
      <c r="F3" s="50" t="s">
        <v>25</v>
      </c>
      <c r="G3" s="110" t="s">
        <v>25</v>
      </c>
      <c r="H3" s="110" t="s">
        <v>27</v>
      </c>
      <c r="I3" s="50"/>
      <c r="J3" s="50" t="s">
        <v>25</v>
      </c>
      <c r="K3" s="110" t="s">
        <v>25</v>
      </c>
      <c r="L3" s="110" t="s">
        <v>27</v>
      </c>
      <c r="M3" s="50"/>
      <c r="N3" s="50" t="s">
        <v>25</v>
      </c>
      <c r="O3" s="110" t="s">
        <v>25</v>
      </c>
      <c r="P3" s="110" t="s">
        <v>27</v>
      </c>
      <c r="Q3" s="50"/>
      <c r="R3" s="50" t="s">
        <v>25</v>
      </c>
      <c r="S3" s="110" t="s">
        <v>25</v>
      </c>
      <c r="T3" s="110" t="s">
        <v>27</v>
      </c>
      <c r="V3" s="50" t="s">
        <v>25</v>
      </c>
      <c r="W3" s="110" t="s">
        <v>25</v>
      </c>
      <c r="X3" s="110" t="s">
        <v>27</v>
      </c>
    </row>
    <row r="4" spans="4:24" ht="12.75">
      <c r="D4" s="95" t="s">
        <v>342</v>
      </c>
      <c r="F4" s="50" t="s">
        <v>343</v>
      </c>
      <c r="G4" s="110" t="s">
        <v>71</v>
      </c>
      <c r="H4" s="110" t="s">
        <v>71</v>
      </c>
      <c r="I4" s="50"/>
      <c r="J4" s="50" t="s">
        <v>343</v>
      </c>
      <c r="K4" s="110" t="s">
        <v>71</v>
      </c>
      <c r="L4" s="110" t="s">
        <v>71</v>
      </c>
      <c r="M4" s="50"/>
      <c r="N4" s="50" t="s">
        <v>343</v>
      </c>
      <c r="O4" s="110" t="s">
        <v>71</v>
      </c>
      <c r="P4" s="110" t="s">
        <v>71</v>
      </c>
      <c r="Q4" s="50"/>
      <c r="R4" s="50" t="s">
        <v>343</v>
      </c>
      <c r="S4" s="110" t="s">
        <v>71</v>
      </c>
      <c r="T4" s="110" t="s">
        <v>71</v>
      </c>
      <c r="V4" s="50" t="s">
        <v>343</v>
      </c>
      <c r="W4" s="110" t="s">
        <v>71</v>
      </c>
      <c r="X4" s="110" t="s">
        <v>71</v>
      </c>
    </row>
    <row r="5" spans="1:44" s="92" customFormat="1" ht="12.75">
      <c r="A5" s="92" t="s">
        <v>306</v>
      </c>
      <c r="B5" s="92">
        <v>1</v>
      </c>
      <c r="C5" s="92" t="s">
        <v>344</v>
      </c>
      <c r="D5" s="96">
        <v>1</v>
      </c>
      <c r="E5" s="93"/>
      <c r="F5" s="97">
        <v>0</v>
      </c>
      <c r="G5" s="97">
        <f>IF(E5=1,F5/2,F5)</f>
        <v>0</v>
      </c>
      <c r="H5" s="97">
        <f>G5*$D5</f>
        <v>0</v>
      </c>
      <c r="I5" s="93"/>
      <c r="J5" s="97">
        <v>0</v>
      </c>
      <c r="K5" s="97">
        <f>IF(I5=1,J5/2,J5)</f>
        <v>0</v>
      </c>
      <c r="L5" s="97">
        <f>K5*$D5</f>
        <v>0</v>
      </c>
      <c r="M5" s="93"/>
      <c r="N5" s="97">
        <v>0</v>
      </c>
      <c r="O5" s="97">
        <f>IF(M5=1,N5/2,N5)</f>
        <v>0</v>
      </c>
      <c r="P5" s="97">
        <f>O5*$D5</f>
        <v>0</v>
      </c>
      <c r="Q5" s="93"/>
      <c r="R5" s="97">
        <v>0</v>
      </c>
      <c r="S5" s="97">
        <f>IF(Q5=1,R5/2,R5)</f>
        <v>0</v>
      </c>
      <c r="T5" s="97">
        <f>S5*$D5</f>
        <v>0</v>
      </c>
      <c r="U5" s="93"/>
      <c r="V5" s="97"/>
      <c r="W5" s="93"/>
      <c r="X5" s="97"/>
      <c r="Y5" s="93"/>
      <c r="Z5" s="97"/>
      <c r="AA5" s="93"/>
      <c r="AB5" s="97"/>
      <c r="AC5" s="93"/>
      <c r="AD5" s="98"/>
      <c r="AE5" s="93"/>
      <c r="AF5" s="98"/>
      <c r="AG5" s="93"/>
      <c r="AH5" s="98"/>
      <c r="AI5" s="93"/>
      <c r="AJ5" s="98"/>
      <c r="AK5" s="93"/>
      <c r="AL5" s="98"/>
      <c r="AM5" s="93"/>
      <c r="AN5" s="98"/>
      <c r="AO5" s="93"/>
      <c r="AP5" s="98"/>
      <c r="AQ5" s="93"/>
      <c r="AR5" s="98"/>
    </row>
    <row r="6" spans="1:44" s="92" customFormat="1" ht="12.75">
      <c r="A6" s="92" t="s">
        <v>306</v>
      </c>
      <c r="B6" s="92">
        <v>2</v>
      </c>
      <c r="C6" s="92" t="s">
        <v>345</v>
      </c>
      <c r="D6" s="96">
        <v>0</v>
      </c>
      <c r="E6" s="93"/>
      <c r="F6" s="97">
        <v>0.038563612403175</v>
      </c>
      <c r="G6" s="97">
        <f aca="true" t="shared" si="0" ref="G6:G37">IF(E6=1,F6/2,F6)</f>
        <v>0.038563612403175</v>
      </c>
      <c r="H6" s="97">
        <f aca="true" t="shared" si="1" ref="H6:H37">G6*$D6</f>
        <v>0</v>
      </c>
      <c r="I6" s="93"/>
      <c r="J6" s="97">
        <v>0.02491161310409243</v>
      </c>
      <c r="K6" s="97">
        <f aca="true" t="shared" si="2" ref="K6:K37">IF(I6=1,J6/2,J6)</f>
        <v>0.02491161310409243</v>
      </c>
      <c r="L6" s="97">
        <f aca="true" t="shared" si="3" ref="L6:L37">K6*$D6</f>
        <v>0</v>
      </c>
      <c r="M6" s="93"/>
      <c r="N6" s="97">
        <v>0.022832439998254548</v>
      </c>
      <c r="O6" s="97">
        <f aca="true" t="shared" si="4" ref="O6:O37">IF(M6=1,N6/2,N6)</f>
        <v>0.022832439998254548</v>
      </c>
      <c r="P6" s="97">
        <f aca="true" t="shared" si="5" ref="P6:P37">O6*$D6</f>
        <v>0</v>
      </c>
      <c r="Q6" s="93"/>
      <c r="R6" s="97">
        <v>0.033219182458961515</v>
      </c>
      <c r="S6" s="97">
        <f aca="true" t="shared" si="6" ref="S6:S37">IF(Q6=1,R6/2,R6)</f>
        <v>0.033219182458961515</v>
      </c>
      <c r="T6" s="97">
        <f aca="true" t="shared" si="7" ref="T6:T37">S6*$D6</f>
        <v>0</v>
      </c>
      <c r="U6" s="93"/>
      <c r="V6" s="97"/>
      <c r="W6" s="93"/>
      <c r="X6" s="97"/>
      <c r="Y6" s="93"/>
      <c r="Z6" s="97"/>
      <c r="AA6" s="93"/>
      <c r="AB6" s="97"/>
      <c r="AC6" s="93"/>
      <c r="AD6" s="98"/>
      <c r="AE6" s="93"/>
      <c r="AF6" s="98"/>
      <c r="AG6" s="93"/>
      <c r="AH6" s="98"/>
      <c r="AI6" s="93"/>
      <c r="AJ6" s="98"/>
      <c r="AK6" s="93"/>
      <c r="AL6" s="98"/>
      <c r="AM6" s="93"/>
      <c r="AN6" s="98"/>
      <c r="AO6" s="93"/>
      <c r="AP6" s="98"/>
      <c r="AQ6" s="93"/>
      <c r="AR6" s="98"/>
    </row>
    <row r="7" spans="1:44" s="92" customFormat="1" ht="12.75">
      <c r="A7" s="92" t="s">
        <v>306</v>
      </c>
      <c r="B7" s="92">
        <v>3</v>
      </c>
      <c r="C7" s="92" t="s">
        <v>346</v>
      </c>
      <c r="D7" s="96">
        <v>0</v>
      </c>
      <c r="E7" s="93"/>
      <c r="F7" s="97">
        <v>0.038563612403175</v>
      </c>
      <c r="G7" s="97">
        <f t="shared" si="0"/>
        <v>0.038563612403175</v>
      </c>
      <c r="H7" s="97">
        <f t="shared" si="1"/>
        <v>0</v>
      </c>
      <c r="I7" s="93"/>
      <c r="J7" s="97">
        <v>0.02491161310409243</v>
      </c>
      <c r="K7" s="97">
        <f t="shared" si="2"/>
        <v>0.02491161310409243</v>
      </c>
      <c r="L7" s="97">
        <f t="shared" si="3"/>
        <v>0</v>
      </c>
      <c r="M7" s="93"/>
      <c r="N7" s="97">
        <v>0.022832439998254548</v>
      </c>
      <c r="O7" s="97">
        <f t="shared" si="4"/>
        <v>0.022832439998254548</v>
      </c>
      <c r="P7" s="97">
        <f t="shared" si="5"/>
        <v>0</v>
      </c>
      <c r="Q7" s="93"/>
      <c r="R7" s="97">
        <v>0.033219182458961515</v>
      </c>
      <c r="S7" s="97">
        <f t="shared" si="6"/>
        <v>0.033219182458961515</v>
      </c>
      <c r="T7" s="97">
        <f t="shared" si="7"/>
        <v>0</v>
      </c>
      <c r="U7" s="93"/>
      <c r="V7" s="97"/>
      <c r="W7" s="93"/>
      <c r="X7" s="97"/>
      <c r="Y7" s="93"/>
      <c r="Z7" s="97"/>
      <c r="AA7" s="93"/>
      <c r="AB7" s="97"/>
      <c r="AC7" s="93"/>
      <c r="AD7" s="98"/>
      <c r="AE7" s="93"/>
      <c r="AF7" s="98"/>
      <c r="AG7" s="93"/>
      <c r="AH7" s="98"/>
      <c r="AI7" s="93"/>
      <c r="AJ7" s="98"/>
      <c r="AK7" s="93"/>
      <c r="AL7" s="98"/>
      <c r="AM7" s="93"/>
      <c r="AN7" s="98"/>
      <c r="AO7" s="93"/>
      <c r="AP7" s="98"/>
      <c r="AQ7" s="93"/>
      <c r="AR7" s="98"/>
    </row>
    <row r="8" spans="1:44" s="92" customFormat="1" ht="12.75">
      <c r="A8" s="92" t="s">
        <v>306</v>
      </c>
      <c r="B8" s="92">
        <v>4</v>
      </c>
      <c r="C8" s="92" t="s">
        <v>347</v>
      </c>
      <c r="D8" s="96">
        <v>0.5</v>
      </c>
      <c r="E8" s="93"/>
      <c r="F8" s="97">
        <v>0.004908096124040464</v>
      </c>
      <c r="G8" s="97">
        <f t="shared" si="0"/>
        <v>0.004908096124040464</v>
      </c>
      <c r="H8" s="97">
        <f t="shared" si="1"/>
        <v>0.002454048062020232</v>
      </c>
      <c r="I8" s="93"/>
      <c r="J8" s="97">
        <v>0.00468924481959387</v>
      </c>
      <c r="K8" s="97">
        <f t="shared" si="2"/>
        <v>0.00468924481959387</v>
      </c>
      <c r="L8" s="97">
        <f t="shared" si="3"/>
        <v>0.002344622409796935</v>
      </c>
      <c r="M8" s="93"/>
      <c r="N8" s="97">
        <v>0.0038209389384834145</v>
      </c>
      <c r="O8" s="97">
        <f t="shared" si="4"/>
        <v>0.0038209389384834145</v>
      </c>
      <c r="P8" s="97">
        <f t="shared" si="5"/>
        <v>0.0019104694692417073</v>
      </c>
      <c r="Q8" s="93"/>
      <c r="R8" s="97">
        <v>0.0038827615861123845</v>
      </c>
      <c r="S8" s="97">
        <f t="shared" si="6"/>
        <v>0.0038827615861123845</v>
      </c>
      <c r="T8" s="97">
        <f t="shared" si="7"/>
        <v>0.0019413807930561923</v>
      </c>
      <c r="U8" s="93"/>
      <c r="V8" s="97"/>
      <c r="W8" s="93"/>
      <c r="X8" s="97"/>
      <c r="Y8" s="93"/>
      <c r="Z8" s="97"/>
      <c r="AA8" s="93"/>
      <c r="AB8" s="97"/>
      <c r="AC8" s="93"/>
      <c r="AD8" s="98"/>
      <c r="AE8" s="93"/>
      <c r="AF8" s="98"/>
      <c r="AG8" s="93"/>
      <c r="AH8" s="98"/>
      <c r="AI8" s="93"/>
      <c r="AJ8" s="98"/>
      <c r="AK8" s="93"/>
      <c r="AL8" s="98"/>
      <c r="AM8" s="93"/>
      <c r="AN8" s="98"/>
      <c r="AO8" s="93"/>
      <c r="AP8" s="98"/>
      <c r="AQ8" s="93"/>
      <c r="AR8" s="98"/>
    </row>
    <row r="9" spans="1:44" s="92" customFormat="1" ht="12.75">
      <c r="A9" s="92" t="s">
        <v>306</v>
      </c>
      <c r="B9" s="92">
        <v>5</v>
      </c>
      <c r="C9" s="92" t="s">
        <v>348</v>
      </c>
      <c r="D9" s="96">
        <v>0</v>
      </c>
      <c r="E9" s="93"/>
      <c r="F9" s="97">
        <v>0.06520756279082335</v>
      </c>
      <c r="G9" s="97">
        <f t="shared" si="0"/>
        <v>0.06520756279082335</v>
      </c>
      <c r="H9" s="97">
        <f t="shared" si="1"/>
        <v>0</v>
      </c>
      <c r="I9" s="93"/>
      <c r="J9" s="97">
        <v>0.05881094544573979</v>
      </c>
      <c r="K9" s="97">
        <f t="shared" si="2"/>
        <v>0.05881094544573979</v>
      </c>
      <c r="L9" s="97">
        <f t="shared" si="3"/>
        <v>0</v>
      </c>
      <c r="M9" s="93"/>
      <c r="N9" s="97">
        <v>0.0474355590167819</v>
      </c>
      <c r="O9" s="97">
        <f t="shared" si="4"/>
        <v>0.0474355590167819</v>
      </c>
      <c r="P9" s="97">
        <f t="shared" si="5"/>
        <v>0</v>
      </c>
      <c r="Q9" s="93"/>
      <c r="R9" s="97">
        <v>0.0608299315157607</v>
      </c>
      <c r="S9" s="97">
        <f t="shared" si="6"/>
        <v>0.0608299315157607</v>
      </c>
      <c r="T9" s="97">
        <f t="shared" si="7"/>
        <v>0</v>
      </c>
      <c r="U9" s="93"/>
      <c r="V9" s="97"/>
      <c r="W9" s="93"/>
      <c r="X9" s="97"/>
      <c r="Y9" s="93"/>
      <c r="Z9" s="97"/>
      <c r="AA9" s="93"/>
      <c r="AB9" s="97"/>
      <c r="AC9" s="93"/>
      <c r="AD9" s="98"/>
      <c r="AE9" s="93"/>
      <c r="AF9" s="98"/>
      <c r="AG9" s="93"/>
      <c r="AH9" s="98"/>
      <c r="AI9" s="93"/>
      <c r="AJ9" s="98"/>
      <c r="AK9" s="93"/>
      <c r="AL9" s="98"/>
      <c r="AM9" s="93"/>
      <c r="AN9" s="98"/>
      <c r="AO9" s="93"/>
      <c r="AP9" s="98"/>
      <c r="AQ9" s="93"/>
      <c r="AR9" s="98"/>
    </row>
    <row r="10" spans="1:44" s="92" customFormat="1" ht="12.75">
      <c r="A10" s="92" t="s">
        <v>306</v>
      </c>
      <c r="B10" s="92">
        <v>6</v>
      </c>
      <c r="C10" s="92" t="s">
        <v>349</v>
      </c>
      <c r="D10" s="96">
        <v>0</v>
      </c>
      <c r="E10" s="93"/>
      <c r="F10" s="97">
        <v>0.07011565891486381</v>
      </c>
      <c r="G10" s="97">
        <f t="shared" si="0"/>
        <v>0.07011565891486381</v>
      </c>
      <c r="H10" s="97">
        <f t="shared" si="1"/>
        <v>0</v>
      </c>
      <c r="I10" s="93"/>
      <c r="J10" s="97">
        <v>0.06350019026533366</v>
      </c>
      <c r="K10" s="97">
        <f t="shared" si="2"/>
        <v>0.06350019026533366</v>
      </c>
      <c r="L10" s="97">
        <f t="shared" si="3"/>
        <v>0</v>
      </c>
      <c r="M10" s="93"/>
      <c r="N10" s="97">
        <v>0.05125649795526531</v>
      </c>
      <c r="O10" s="97">
        <f t="shared" si="4"/>
        <v>0.05125649795526531</v>
      </c>
      <c r="P10" s="97">
        <f t="shared" si="5"/>
        <v>0</v>
      </c>
      <c r="Q10" s="93"/>
      <c r="R10" s="97">
        <v>0.064712693101873</v>
      </c>
      <c r="S10" s="97">
        <f t="shared" si="6"/>
        <v>0.064712693101873</v>
      </c>
      <c r="T10" s="97">
        <f t="shared" si="7"/>
        <v>0</v>
      </c>
      <c r="U10" s="93"/>
      <c r="V10" s="97"/>
      <c r="W10" s="93"/>
      <c r="X10" s="97"/>
      <c r="Y10" s="93"/>
      <c r="Z10" s="97"/>
      <c r="AA10" s="93"/>
      <c r="AB10" s="97"/>
      <c r="AC10" s="93"/>
      <c r="AD10" s="98"/>
      <c r="AE10" s="93"/>
      <c r="AF10" s="98"/>
      <c r="AG10" s="93"/>
      <c r="AH10" s="98"/>
      <c r="AI10" s="93"/>
      <c r="AJ10" s="98"/>
      <c r="AK10" s="93"/>
      <c r="AL10" s="98"/>
      <c r="AM10" s="93"/>
      <c r="AN10" s="98"/>
      <c r="AO10" s="93"/>
      <c r="AP10" s="98"/>
      <c r="AQ10" s="93"/>
      <c r="AR10" s="98"/>
    </row>
    <row r="11" spans="1:44" s="92" customFormat="1" ht="12.75">
      <c r="A11" s="92" t="s">
        <v>306</v>
      </c>
      <c r="B11" s="92">
        <v>7</v>
      </c>
      <c r="C11" s="92" t="s">
        <v>350</v>
      </c>
      <c r="D11" s="96">
        <v>0.1</v>
      </c>
      <c r="E11" s="93"/>
      <c r="F11" s="97">
        <v>0.00851404429680489</v>
      </c>
      <c r="G11" s="97">
        <f t="shared" si="0"/>
        <v>0.00851404429680489</v>
      </c>
      <c r="H11" s="97">
        <f t="shared" si="1"/>
        <v>0.000851404429680489</v>
      </c>
      <c r="I11" s="93"/>
      <c r="J11" s="97">
        <v>0.0068384820285744</v>
      </c>
      <c r="K11" s="97">
        <f t="shared" si="2"/>
        <v>0.0068384820285744</v>
      </c>
      <c r="L11" s="97">
        <f t="shared" si="3"/>
        <v>0.00068384820285744</v>
      </c>
      <c r="M11" s="93"/>
      <c r="N11" s="97">
        <v>0.005591617958756216</v>
      </c>
      <c r="O11" s="97">
        <f t="shared" si="4"/>
        <v>0.005591617958756216</v>
      </c>
      <c r="P11" s="97">
        <f t="shared" si="5"/>
        <v>0.0005591617958756217</v>
      </c>
      <c r="Q11" s="93"/>
      <c r="R11" s="97">
        <v>0.004745597494137359</v>
      </c>
      <c r="S11" s="97">
        <f t="shared" si="6"/>
        <v>0.004745597494137359</v>
      </c>
      <c r="T11" s="97">
        <f t="shared" si="7"/>
        <v>0.000474559749413736</v>
      </c>
      <c r="U11" s="93"/>
      <c r="V11" s="97"/>
      <c r="W11" s="93"/>
      <c r="X11" s="97"/>
      <c r="Y11" s="93"/>
      <c r="Z11" s="97"/>
      <c r="AA11" s="93"/>
      <c r="AB11" s="97"/>
      <c r="AC11" s="93"/>
      <c r="AD11" s="98"/>
      <c r="AE11" s="93"/>
      <c r="AF11" s="98"/>
      <c r="AG11" s="93"/>
      <c r="AH11" s="98"/>
      <c r="AI11" s="93"/>
      <c r="AJ11" s="98"/>
      <c r="AK11" s="93"/>
      <c r="AL11" s="98"/>
      <c r="AM11" s="93"/>
      <c r="AN11" s="98"/>
      <c r="AO11" s="93"/>
      <c r="AP11" s="98"/>
      <c r="AQ11" s="93"/>
      <c r="AR11" s="98"/>
    </row>
    <row r="12" spans="1:44" s="92" customFormat="1" ht="12.75">
      <c r="A12" s="92" t="s">
        <v>306</v>
      </c>
      <c r="B12" s="92">
        <v>8</v>
      </c>
      <c r="C12" s="92" t="s">
        <v>351</v>
      </c>
      <c r="D12" s="96">
        <v>0.1</v>
      </c>
      <c r="E12" s="93"/>
      <c r="F12" s="97">
        <v>0.01602643632339744</v>
      </c>
      <c r="G12" s="97">
        <f t="shared" si="0"/>
        <v>0.01602643632339744</v>
      </c>
      <c r="H12" s="97">
        <f t="shared" si="1"/>
        <v>0.0016026436323397439</v>
      </c>
      <c r="I12" s="93"/>
      <c r="J12" s="97">
        <v>0.01270003805306673</v>
      </c>
      <c r="K12" s="97">
        <f t="shared" si="2"/>
        <v>0.01270003805306673</v>
      </c>
      <c r="L12" s="97">
        <f t="shared" si="3"/>
        <v>0.0012700038053066731</v>
      </c>
      <c r="M12" s="93"/>
      <c r="N12" s="97">
        <v>0.011649204080742118</v>
      </c>
      <c r="O12" s="97">
        <f t="shared" si="4"/>
        <v>0.011649204080742118</v>
      </c>
      <c r="P12" s="97">
        <f t="shared" si="5"/>
        <v>0.0011649204080742119</v>
      </c>
      <c r="Q12" s="93"/>
      <c r="R12" s="97">
        <v>0.011648284758337155</v>
      </c>
      <c r="S12" s="97">
        <f t="shared" si="6"/>
        <v>0.011648284758337155</v>
      </c>
      <c r="T12" s="97">
        <f t="shared" si="7"/>
        <v>0.0011648284758337157</v>
      </c>
      <c r="U12" s="93"/>
      <c r="V12" s="97"/>
      <c r="W12" s="93"/>
      <c r="X12" s="97"/>
      <c r="Y12" s="93"/>
      <c r="Z12" s="97"/>
      <c r="AA12" s="93"/>
      <c r="AB12" s="97"/>
      <c r="AC12" s="93"/>
      <c r="AD12" s="98"/>
      <c r="AE12" s="93"/>
      <c r="AF12" s="98"/>
      <c r="AG12" s="93"/>
      <c r="AH12" s="98"/>
      <c r="AI12" s="93"/>
      <c r="AJ12" s="98"/>
      <c r="AK12" s="93"/>
      <c r="AL12" s="98"/>
      <c r="AM12" s="93"/>
      <c r="AN12" s="98"/>
      <c r="AO12" s="93"/>
      <c r="AP12" s="98"/>
      <c r="AQ12" s="93"/>
      <c r="AR12" s="98"/>
    </row>
    <row r="13" spans="1:44" s="92" customFormat="1" ht="12.75">
      <c r="A13" s="92" t="s">
        <v>306</v>
      </c>
      <c r="B13" s="92">
        <v>9</v>
      </c>
      <c r="C13" s="92" t="s">
        <v>352</v>
      </c>
      <c r="D13" s="96">
        <v>0.1</v>
      </c>
      <c r="E13" s="93"/>
      <c r="F13" s="97">
        <v>0.00851404429680489</v>
      </c>
      <c r="G13" s="97">
        <f t="shared" si="0"/>
        <v>0.00851404429680489</v>
      </c>
      <c r="H13" s="97">
        <f t="shared" si="1"/>
        <v>0.000851404429680489</v>
      </c>
      <c r="I13" s="93"/>
      <c r="J13" s="97">
        <v>0.007326945030615422</v>
      </c>
      <c r="K13" s="97">
        <f t="shared" si="2"/>
        <v>0.007326945030615422</v>
      </c>
      <c r="L13" s="97">
        <f t="shared" si="3"/>
        <v>0.0007326945030615423</v>
      </c>
      <c r="M13" s="93"/>
      <c r="N13" s="97">
        <v>0.005591617958756216</v>
      </c>
      <c r="O13" s="97">
        <f t="shared" si="4"/>
        <v>0.005591617958756216</v>
      </c>
      <c r="P13" s="97">
        <f t="shared" si="5"/>
        <v>0.0005591617958756217</v>
      </c>
      <c r="Q13" s="93"/>
      <c r="R13" s="97">
        <v>0.005608433402162333</v>
      </c>
      <c r="S13" s="97">
        <f t="shared" si="6"/>
        <v>0.005608433402162333</v>
      </c>
      <c r="T13" s="97">
        <f t="shared" si="7"/>
        <v>0.0005608433402162333</v>
      </c>
      <c r="U13" s="93"/>
      <c r="V13" s="97"/>
      <c r="W13" s="93"/>
      <c r="X13" s="97"/>
      <c r="Y13" s="93"/>
      <c r="Z13" s="97"/>
      <c r="AA13" s="93"/>
      <c r="AB13" s="97"/>
      <c r="AC13" s="93"/>
      <c r="AD13" s="98"/>
      <c r="AE13" s="93"/>
      <c r="AF13" s="98"/>
      <c r="AG13" s="93"/>
      <c r="AH13" s="98"/>
      <c r="AI13" s="93"/>
      <c r="AJ13" s="98"/>
      <c r="AK13" s="93"/>
      <c r="AL13" s="98"/>
      <c r="AM13" s="93"/>
      <c r="AN13" s="98"/>
      <c r="AO13" s="93"/>
      <c r="AP13" s="98"/>
      <c r="AQ13" s="93"/>
      <c r="AR13" s="98"/>
    </row>
    <row r="14" spans="1:44" s="92" customFormat="1" ht="12.75">
      <c r="A14" s="92" t="s">
        <v>306</v>
      </c>
      <c r="B14" s="92">
        <v>10</v>
      </c>
      <c r="C14" s="92" t="s">
        <v>353</v>
      </c>
      <c r="D14" s="96">
        <v>0</v>
      </c>
      <c r="E14" s="93"/>
      <c r="F14" s="97">
        <v>0.13722636101909</v>
      </c>
      <c r="G14" s="97">
        <f t="shared" si="0"/>
        <v>0.13722636101909</v>
      </c>
      <c r="H14" s="97">
        <f t="shared" si="1"/>
        <v>0</v>
      </c>
      <c r="I14" s="93"/>
      <c r="J14" s="97">
        <v>0.11967343550005186</v>
      </c>
      <c r="K14" s="97">
        <f t="shared" si="2"/>
        <v>0.11967343550005186</v>
      </c>
      <c r="L14" s="97">
        <f t="shared" si="3"/>
        <v>0</v>
      </c>
      <c r="M14" s="93"/>
      <c r="N14" s="97">
        <v>0.08899991917686977</v>
      </c>
      <c r="O14" s="97">
        <f t="shared" si="4"/>
        <v>0.08899991917686977</v>
      </c>
      <c r="P14" s="97">
        <f t="shared" si="5"/>
        <v>0</v>
      </c>
      <c r="Q14" s="93"/>
      <c r="R14" s="97">
        <v>0.0987947114688596</v>
      </c>
      <c r="S14" s="97">
        <f t="shared" si="6"/>
        <v>0.0987947114688596</v>
      </c>
      <c r="T14" s="97">
        <f t="shared" si="7"/>
        <v>0</v>
      </c>
      <c r="U14" s="93"/>
      <c r="V14" s="97"/>
      <c r="W14" s="93"/>
      <c r="X14" s="97"/>
      <c r="Y14" s="93"/>
      <c r="Z14" s="97"/>
      <c r="AA14" s="93"/>
      <c r="AB14" s="97"/>
      <c r="AC14" s="93"/>
      <c r="AD14" s="98"/>
      <c r="AE14" s="93"/>
      <c r="AF14" s="98"/>
      <c r="AG14" s="93"/>
      <c r="AH14" s="98"/>
      <c r="AI14" s="93"/>
      <c r="AJ14" s="98"/>
      <c r="AK14" s="93"/>
      <c r="AL14" s="98"/>
      <c r="AM14" s="93"/>
      <c r="AN14" s="98"/>
      <c r="AO14" s="93"/>
      <c r="AP14" s="98"/>
      <c r="AQ14" s="93"/>
      <c r="AR14" s="98"/>
    </row>
    <row r="15" spans="1:44" s="92" customFormat="1" ht="12.75">
      <c r="A15" s="92" t="s">
        <v>306</v>
      </c>
      <c r="B15" s="92">
        <v>11</v>
      </c>
      <c r="C15" s="92" t="s">
        <v>354</v>
      </c>
      <c r="D15" s="96">
        <v>0</v>
      </c>
      <c r="E15" s="93"/>
      <c r="F15" s="97">
        <v>0.1702808859360978</v>
      </c>
      <c r="G15" s="97">
        <f t="shared" si="0"/>
        <v>0.1702808859360978</v>
      </c>
      <c r="H15" s="97">
        <f t="shared" si="1"/>
        <v>0</v>
      </c>
      <c r="I15" s="93"/>
      <c r="J15" s="97">
        <v>0.14653890061230843</v>
      </c>
      <c r="K15" s="97">
        <f t="shared" si="2"/>
        <v>0.14653890061230843</v>
      </c>
      <c r="L15" s="97">
        <f t="shared" si="3"/>
        <v>0</v>
      </c>
      <c r="M15" s="93"/>
      <c r="N15" s="97">
        <v>0.11183235917512432</v>
      </c>
      <c r="O15" s="97">
        <f t="shared" si="4"/>
        <v>0.11183235917512432</v>
      </c>
      <c r="P15" s="97">
        <f t="shared" si="5"/>
        <v>0</v>
      </c>
      <c r="Q15" s="93"/>
      <c r="R15" s="97">
        <v>0.12079702712349644</v>
      </c>
      <c r="S15" s="97">
        <f t="shared" si="6"/>
        <v>0.12079702712349644</v>
      </c>
      <c r="T15" s="97">
        <f t="shared" si="7"/>
        <v>0</v>
      </c>
      <c r="U15" s="93"/>
      <c r="V15" s="97"/>
      <c r="W15" s="93"/>
      <c r="X15" s="97"/>
      <c r="Y15" s="93"/>
      <c r="Z15" s="97"/>
      <c r="AA15" s="93"/>
      <c r="AB15" s="97"/>
      <c r="AC15" s="93"/>
      <c r="AD15" s="98"/>
      <c r="AE15" s="93"/>
      <c r="AF15" s="98"/>
      <c r="AG15" s="93"/>
      <c r="AH15" s="98"/>
      <c r="AI15" s="93"/>
      <c r="AJ15" s="98"/>
      <c r="AK15" s="93"/>
      <c r="AL15" s="98"/>
      <c r="AM15" s="93"/>
      <c r="AN15" s="98"/>
      <c r="AO15" s="93"/>
      <c r="AP15" s="98"/>
      <c r="AQ15" s="93"/>
      <c r="AR15" s="98"/>
    </row>
    <row r="16" spans="1:44" s="92" customFormat="1" ht="12.75">
      <c r="A16" s="92" t="s">
        <v>306</v>
      </c>
      <c r="B16" s="92">
        <v>12</v>
      </c>
      <c r="C16" s="92" t="s">
        <v>355</v>
      </c>
      <c r="D16" s="96">
        <v>0.01</v>
      </c>
      <c r="E16" s="93"/>
      <c r="F16" s="97">
        <v>0.09515696567017229</v>
      </c>
      <c r="G16" s="97">
        <f t="shared" si="0"/>
        <v>0.09515696567017229</v>
      </c>
      <c r="H16" s="97">
        <f t="shared" si="1"/>
        <v>0.0009515696567017229</v>
      </c>
      <c r="I16" s="93"/>
      <c r="J16" s="97">
        <v>0.07326945030615421</v>
      </c>
      <c r="K16" s="97">
        <f t="shared" si="2"/>
        <v>0.07326945030615421</v>
      </c>
      <c r="L16" s="97">
        <f t="shared" si="3"/>
        <v>0.0007326945030615422</v>
      </c>
      <c r="M16" s="93"/>
      <c r="N16" s="97">
        <v>0.05591617958756216</v>
      </c>
      <c r="O16" s="97">
        <f t="shared" si="4"/>
        <v>0.05591617958756216</v>
      </c>
      <c r="P16" s="97">
        <f t="shared" si="5"/>
        <v>0.0005591617958756217</v>
      </c>
      <c r="Q16" s="93"/>
      <c r="R16" s="97">
        <v>0.05608433402162334</v>
      </c>
      <c r="S16" s="97">
        <f t="shared" si="6"/>
        <v>0.05608433402162334</v>
      </c>
      <c r="T16" s="97">
        <f t="shared" si="7"/>
        <v>0.0005608433402162334</v>
      </c>
      <c r="U16" s="93"/>
      <c r="V16" s="97"/>
      <c r="W16" s="93"/>
      <c r="X16" s="97"/>
      <c r="Y16" s="93"/>
      <c r="Z16" s="97"/>
      <c r="AA16" s="93"/>
      <c r="AB16" s="97"/>
      <c r="AC16" s="93"/>
      <c r="AD16" s="98"/>
      <c r="AE16" s="93"/>
      <c r="AF16" s="98"/>
      <c r="AG16" s="93"/>
      <c r="AH16" s="98"/>
      <c r="AI16" s="93"/>
      <c r="AJ16" s="98"/>
      <c r="AK16" s="93"/>
      <c r="AL16" s="98"/>
      <c r="AM16" s="93"/>
      <c r="AN16" s="98"/>
      <c r="AO16" s="93"/>
      <c r="AP16" s="98"/>
      <c r="AQ16" s="93"/>
      <c r="AR16" s="98"/>
    </row>
    <row r="17" spans="1:44" s="92" customFormat="1" ht="12.75">
      <c r="A17" s="92" t="s">
        <v>306</v>
      </c>
      <c r="B17" s="92">
        <v>13</v>
      </c>
      <c r="C17" s="92" t="s">
        <v>356</v>
      </c>
      <c r="D17" s="96">
        <v>0</v>
      </c>
      <c r="E17" s="93"/>
      <c r="F17" s="97">
        <v>0.115190011074419</v>
      </c>
      <c r="G17" s="97">
        <f t="shared" si="0"/>
        <v>0.115190011074419</v>
      </c>
      <c r="H17" s="97">
        <f t="shared" si="1"/>
        <v>0</v>
      </c>
      <c r="I17" s="93"/>
      <c r="J17" s="97">
        <v>0.08303871034697478</v>
      </c>
      <c r="K17" s="97">
        <f t="shared" si="2"/>
        <v>0.08303871034697478</v>
      </c>
      <c r="L17" s="97">
        <f t="shared" si="3"/>
        <v>0</v>
      </c>
      <c r="M17" s="93"/>
      <c r="N17" s="97">
        <v>0.06523554285215585</v>
      </c>
      <c r="O17" s="97">
        <f t="shared" si="4"/>
        <v>0.06523554285215585</v>
      </c>
      <c r="P17" s="97">
        <f t="shared" si="5"/>
        <v>0</v>
      </c>
      <c r="Q17" s="93"/>
      <c r="R17" s="97">
        <v>0.064712693101873</v>
      </c>
      <c r="S17" s="97">
        <f t="shared" si="6"/>
        <v>0.064712693101873</v>
      </c>
      <c r="T17" s="97">
        <f t="shared" si="7"/>
        <v>0</v>
      </c>
      <c r="U17" s="93"/>
      <c r="V17" s="97"/>
      <c r="W17" s="93"/>
      <c r="X17" s="97"/>
      <c r="Y17" s="93"/>
      <c r="Z17" s="97"/>
      <c r="AA17" s="93"/>
      <c r="AB17" s="97"/>
      <c r="AC17" s="93"/>
      <c r="AD17" s="98"/>
      <c r="AE17" s="93"/>
      <c r="AF17" s="98"/>
      <c r="AG17" s="93"/>
      <c r="AH17" s="98"/>
      <c r="AI17" s="93"/>
      <c r="AJ17" s="98"/>
      <c r="AK17" s="93"/>
      <c r="AL17" s="98"/>
      <c r="AM17" s="93"/>
      <c r="AN17" s="98"/>
      <c r="AO17" s="93"/>
      <c r="AP17" s="98"/>
      <c r="AQ17" s="93"/>
      <c r="AR17" s="98"/>
    </row>
    <row r="18" spans="1:44" s="92" customFormat="1" ht="12.75">
      <c r="A18" s="92" t="s">
        <v>306</v>
      </c>
      <c r="B18" s="92">
        <v>14</v>
      </c>
      <c r="C18" s="92" t="s">
        <v>357</v>
      </c>
      <c r="D18" s="96">
        <v>0</v>
      </c>
      <c r="E18" s="93"/>
      <c r="F18" s="97">
        <v>0.21034697674459135</v>
      </c>
      <c r="G18" s="97">
        <f t="shared" si="0"/>
        <v>0.21034697674459135</v>
      </c>
      <c r="H18" s="97">
        <f t="shared" si="1"/>
        <v>0</v>
      </c>
      <c r="I18" s="93"/>
      <c r="J18" s="97">
        <v>0.156308160653129</v>
      </c>
      <c r="K18" s="97">
        <f t="shared" si="2"/>
        <v>0.156308160653129</v>
      </c>
      <c r="L18" s="97">
        <f t="shared" si="3"/>
        <v>0</v>
      </c>
      <c r="M18" s="93"/>
      <c r="N18" s="97">
        <v>0.12115172243971802</v>
      </c>
      <c r="O18" s="97">
        <f t="shared" si="4"/>
        <v>0.12115172243971802</v>
      </c>
      <c r="P18" s="97">
        <f t="shared" si="5"/>
        <v>0</v>
      </c>
      <c r="Q18" s="93"/>
      <c r="R18" s="97">
        <v>0.12079702712349644</v>
      </c>
      <c r="S18" s="97">
        <f t="shared" si="6"/>
        <v>0.12079702712349644</v>
      </c>
      <c r="T18" s="97">
        <f t="shared" si="7"/>
        <v>0</v>
      </c>
      <c r="U18" s="93"/>
      <c r="V18" s="97"/>
      <c r="W18" s="93"/>
      <c r="X18" s="97"/>
      <c r="Y18" s="93"/>
      <c r="Z18" s="97"/>
      <c r="AA18" s="93"/>
      <c r="AB18" s="97"/>
      <c r="AC18" s="93"/>
      <c r="AD18" s="98"/>
      <c r="AE18" s="93"/>
      <c r="AF18" s="98"/>
      <c r="AG18" s="93"/>
      <c r="AH18" s="98"/>
      <c r="AI18" s="93"/>
      <c r="AJ18" s="98"/>
      <c r="AK18" s="93"/>
      <c r="AL18" s="98"/>
      <c r="AM18" s="93"/>
      <c r="AN18" s="98"/>
      <c r="AO18" s="93"/>
      <c r="AP18" s="98"/>
      <c r="AQ18" s="93"/>
      <c r="AR18" s="98"/>
    </row>
    <row r="19" spans="1:44" s="92" customFormat="1" ht="12.75">
      <c r="A19" s="92" t="s">
        <v>306</v>
      </c>
      <c r="B19" s="92">
        <v>15</v>
      </c>
      <c r="C19" s="92" t="s">
        <v>358</v>
      </c>
      <c r="D19" s="96">
        <v>0.001</v>
      </c>
      <c r="E19" s="93"/>
      <c r="F19" s="97">
        <v>0.29047915836157856</v>
      </c>
      <c r="G19" s="97">
        <f t="shared" si="0"/>
        <v>0.29047915836157856</v>
      </c>
      <c r="H19" s="97">
        <f t="shared" si="1"/>
        <v>0.0002904791583615786</v>
      </c>
      <c r="I19" s="93"/>
      <c r="J19" s="97">
        <v>0.17584668073477</v>
      </c>
      <c r="K19" s="97">
        <f t="shared" si="2"/>
        <v>0.17584668073477</v>
      </c>
      <c r="L19" s="97">
        <f t="shared" si="3"/>
        <v>0.00017584668073477</v>
      </c>
      <c r="M19" s="93"/>
      <c r="N19" s="97">
        <v>0.15376949386579597</v>
      </c>
      <c r="O19" s="97">
        <f t="shared" si="4"/>
        <v>0.15376949386579597</v>
      </c>
      <c r="P19" s="97">
        <f t="shared" si="5"/>
        <v>0.00015376949386579597</v>
      </c>
      <c r="Q19" s="93"/>
      <c r="R19" s="97">
        <v>0.11648284758337156</v>
      </c>
      <c r="S19" s="97">
        <f t="shared" si="6"/>
        <v>0.11648284758337156</v>
      </c>
      <c r="T19" s="97">
        <f t="shared" si="7"/>
        <v>0.00011648284758337156</v>
      </c>
      <c r="U19" s="93"/>
      <c r="V19" s="97"/>
      <c r="W19" s="93"/>
      <c r="X19" s="97"/>
      <c r="Y19" s="93"/>
      <c r="Z19" s="97"/>
      <c r="AA19" s="93"/>
      <c r="AB19" s="97"/>
      <c r="AC19" s="93"/>
      <c r="AD19" s="98"/>
      <c r="AE19" s="93"/>
      <c r="AF19" s="98"/>
      <c r="AG19" s="93"/>
      <c r="AH19" s="98"/>
      <c r="AI19" s="93"/>
      <c r="AJ19" s="98"/>
      <c r="AK19" s="93"/>
      <c r="AL19" s="98"/>
      <c r="AM19" s="93"/>
      <c r="AN19" s="98"/>
      <c r="AO19" s="93"/>
      <c r="AP19" s="98"/>
      <c r="AQ19" s="93"/>
      <c r="AR19" s="98"/>
    </row>
    <row r="20" spans="1:44" s="92" customFormat="1" ht="12.75">
      <c r="A20" s="92" t="s">
        <v>306</v>
      </c>
      <c r="B20" s="92">
        <v>16</v>
      </c>
      <c r="C20" s="92" t="s">
        <v>359</v>
      </c>
      <c r="D20" s="96">
        <v>0.1</v>
      </c>
      <c r="E20" s="93"/>
      <c r="F20" s="97">
        <v>0.00801321816169872</v>
      </c>
      <c r="G20" s="97">
        <f t="shared" si="0"/>
        <v>0.00801321816169872</v>
      </c>
      <c r="H20" s="97">
        <f t="shared" si="1"/>
        <v>0.0008013218161698719</v>
      </c>
      <c r="I20" s="93"/>
      <c r="J20" s="97">
        <v>0.008303871034697478</v>
      </c>
      <c r="K20" s="97">
        <f t="shared" si="2"/>
        <v>0.008303871034697478</v>
      </c>
      <c r="L20" s="97">
        <f t="shared" si="3"/>
        <v>0.0008303871034697479</v>
      </c>
      <c r="M20" s="93"/>
      <c r="N20" s="97">
        <v>0.005591617958756216</v>
      </c>
      <c r="O20" s="97">
        <f t="shared" si="4"/>
        <v>0.005591617958756216</v>
      </c>
      <c r="P20" s="97">
        <f t="shared" si="5"/>
        <v>0.0005591617958756217</v>
      </c>
      <c r="Q20" s="93"/>
      <c r="R20" s="97">
        <v>0.0099226129422872</v>
      </c>
      <c r="S20" s="97">
        <f t="shared" si="6"/>
        <v>0.0099226129422872</v>
      </c>
      <c r="T20" s="97">
        <f t="shared" si="7"/>
        <v>0.00099226129422872</v>
      </c>
      <c r="U20" s="93"/>
      <c r="V20" s="97"/>
      <c r="W20" s="93"/>
      <c r="X20" s="97"/>
      <c r="Y20" s="93"/>
      <c r="Z20" s="97"/>
      <c r="AA20" s="93"/>
      <c r="AB20" s="97"/>
      <c r="AC20" s="93"/>
      <c r="AD20" s="98"/>
      <c r="AE20" s="93"/>
      <c r="AF20" s="98"/>
      <c r="AG20" s="93"/>
      <c r="AH20" s="98"/>
      <c r="AI20" s="93"/>
      <c r="AJ20" s="98"/>
      <c r="AK20" s="93"/>
      <c r="AL20" s="98"/>
      <c r="AM20" s="93"/>
      <c r="AN20" s="98"/>
      <c r="AO20" s="93"/>
      <c r="AP20" s="98"/>
      <c r="AQ20" s="93"/>
      <c r="AR20" s="98"/>
    </row>
    <row r="21" spans="1:44" s="92" customFormat="1" ht="12.75">
      <c r="A21" s="92" t="s">
        <v>306</v>
      </c>
      <c r="B21" s="92">
        <v>17</v>
      </c>
      <c r="C21" s="92" t="s">
        <v>360</v>
      </c>
      <c r="D21" s="96">
        <v>0</v>
      </c>
      <c r="E21" s="93"/>
      <c r="F21" s="97">
        <v>0.3175237696573117</v>
      </c>
      <c r="G21" s="97">
        <f t="shared" si="0"/>
        <v>0.3175237696573117</v>
      </c>
      <c r="H21" s="97">
        <f t="shared" si="1"/>
        <v>0</v>
      </c>
      <c r="I21" s="93"/>
      <c r="J21" s="97">
        <v>0.3287356003736118</v>
      </c>
      <c r="K21" s="97">
        <f t="shared" si="2"/>
        <v>0.3287356003736118</v>
      </c>
      <c r="L21" s="97">
        <f t="shared" si="3"/>
        <v>0</v>
      </c>
      <c r="M21" s="93"/>
      <c r="N21" s="97">
        <v>0.21807310039149244</v>
      </c>
      <c r="O21" s="97">
        <f t="shared" si="4"/>
        <v>0.21807310039149244</v>
      </c>
      <c r="P21" s="97">
        <f t="shared" si="5"/>
        <v>0</v>
      </c>
      <c r="Q21" s="93"/>
      <c r="R21" s="97">
        <v>0.3006983139467036</v>
      </c>
      <c r="S21" s="97">
        <f t="shared" si="6"/>
        <v>0.3006983139467036</v>
      </c>
      <c r="T21" s="97">
        <f t="shared" si="7"/>
        <v>0</v>
      </c>
      <c r="U21" s="93"/>
      <c r="V21" s="97"/>
      <c r="W21" s="93"/>
      <c r="X21" s="97"/>
      <c r="Y21" s="93"/>
      <c r="Z21" s="97"/>
      <c r="AA21" s="93"/>
      <c r="AB21" s="97"/>
      <c r="AC21" s="93"/>
      <c r="AD21" s="98"/>
      <c r="AE21" s="93"/>
      <c r="AF21" s="98"/>
      <c r="AG21" s="93"/>
      <c r="AH21" s="98"/>
      <c r="AI21" s="93"/>
      <c r="AJ21" s="98"/>
      <c r="AK21" s="93"/>
      <c r="AL21" s="98"/>
      <c r="AM21" s="93"/>
      <c r="AN21" s="98"/>
      <c r="AO21" s="93"/>
      <c r="AP21" s="98"/>
      <c r="AQ21" s="93"/>
      <c r="AR21" s="98"/>
    </row>
    <row r="22" spans="1:44" s="92" customFormat="1" ht="12.75">
      <c r="A22" s="92" t="s">
        <v>306</v>
      </c>
      <c r="B22" s="92">
        <v>18</v>
      </c>
      <c r="C22" s="92" t="s">
        <v>361</v>
      </c>
      <c r="D22" s="96">
        <v>0</v>
      </c>
      <c r="E22" s="93"/>
      <c r="F22" s="97">
        <v>0.32553698781901</v>
      </c>
      <c r="G22" s="97">
        <f t="shared" si="0"/>
        <v>0.32553698781901</v>
      </c>
      <c r="H22" s="97">
        <f t="shared" si="1"/>
        <v>0</v>
      </c>
      <c r="I22" s="93"/>
      <c r="J22" s="97">
        <v>0.33703947140831</v>
      </c>
      <c r="K22" s="97">
        <f t="shared" si="2"/>
        <v>0.33703947140831</v>
      </c>
      <c r="L22" s="97">
        <f t="shared" si="3"/>
        <v>0</v>
      </c>
      <c r="M22" s="93"/>
      <c r="N22" s="97">
        <v>0.22366471835024865</v>
      </c>
      <c r="O22" s="97">
        <f t="shared" si="4"/>
        <v>0.22366471835024865</v>
      </c>
      <c r="P22" s="97">
        <f t="shared" si="5"/>
        <v>0</v>
      </c>
      <c r="Q22" s="93"/>
      <c r="R22" s="97">
        <v>0.31062092688899</v>
      </c>
      <c r="S22" s="97">
        <f t="shared" si="6"/>
        <v>0.31062092688899</v>
      </c>
      <c r="T22" s="97">
        <f t="shared" si="7"/>
        <v>0</v>
      </c>
      <c r="U22" s="93"/>
      <c r="V22" s="97"/>
      <c r="W22" s="93"/>
      <c r="X22" s="97"/>
      <c r="Y22" s="93"/>
      <c r="Z22" s="97"/>
      <c r="AA22" s="93"/>
      <c r="AB22" s="97"/>
      <c r="AC22" s="93"/>
      <c r="AD22" s="98"/>
      <c r="AE22" s="93"/>
      <c r="AF22" s="98"/>
      <c r="AG22" s="93"/>
      <c r="AH22" s="98"/>
      <c r="AI22" s="93"/>
      <c r="AJ22" s="98"/>
      <c r="AK22" s="93"/>
      <c r="AL22" s="98"/>
      <c r="AM22" s="93"/>
      <c r="AN22" s="98"/>
      <c r="AO22" s="93"/>
      <c r="AP22" s="98"/>
      <c r="AQ22" s="93"/>
      <c r="AR22" s="98"/>
    </row>
    <row r="23" spans="1:44" s="92" customFormat="1" ht="12.75">
      <c r="A23" s="92" t="s">
        <v>306</v>
      </c>
      <c r="B23" s="92">
        <v>19</v>
      </c>
      <c r="C23" s="92" t="s">
        <v>362</v>
      </c>
      <c r="D23" s="96">
        <v>0.05</v>
      </c>
      <c r="E23" s="93"/>
      <c r="F23" s="97">
        <v>0.03355535105211339</v>
      </c>
      <c r="G23" s="97">
        <f t="shared" si="0"/>
        <v>0.03355535105211339</v>
      </c>
      <c r="H23" s="97">
        <f t="shared" si="1"/>
        <v>0.0016777675526056695</v>
      </c>
      <c r="I23" s="93"/>
      <c r="J23" s="97">
        <v>0.028819317120420657</v>
      </c>
      <c r="K23" s="97">
        <f t="shared" si="2"/>
        <v>0.028819317120420657</v>
      </c>
      <c r="L23" s="97">
        <f t="shared" si="3"/>
        <v>0.001440965856021033</v>
      </c>
      <c r="M23" s="93"/>
      <c r="N23" s="97">
        <v>0.02003663101887644</v>
      </c>
      <c r="O23" s="97">
        <f t="shared" si="4"/>
        <v>0.02003663101887644</v>
      </c>
      <c r="P23" s="97">
        <f t="shared" si="5"/>
        <v>0.0010018315509438222</v>
      </c>
      <c r="Q23" s="93"/>
      <c r="R23" s="97">
        <v>0.021139479746611876</v>
      </c>
      <c r="S23" s="97">
        <f t="shared" si="6"/>
        <v>0.021139479746611876</v>
      </c>
      <c r="T23" s="97">
        <f t="shared" si="7"/>
        <v>0.001056973987330594</v>
      </c>
      <c r="U23" s="93"/>
      <c r="V23" s="97"/>
      <c r="W23" s="93"/>
      <c r="X23" s="97"/>
      <c r="Y23" s="93"/>
      <c r="Z23" s="97"/>
      <c r="AA23" s="93"/>
      <c r="AB23" s="97"/>
      <c r="AC23" s="93"/>
      <c r="AD23" s="98"/>
      <c r="AE23" s="93"/>
      <c r="AF23" s="98"/>
      <c r="AG23" s="93"/>
      <c r="AH23" s="98"/>
      <c r="AI23" s="93"/>
      <c r="AJ23" s="98"/>
      <c r="AK23" s="93"/>
      <c r="AL23" s="98"/>
      <c r="AM23" s="93"/>
      <c r="AN23" s="98"/>
      <c r="AO23" s="93"/>
      <c r="AP23" s="98"/>
      <c r="AQ23" s="93"/>
      <c r="AR23" s="98"/>
    </row>
    <row r="24" spans="1:44" s="92" customFormat="1" ht="12.75">
      <c r="A24" s="92" t="s">
        <v>306</v>
      </c>
      <c r="B24" s="92">
        <v>20</v>
      </c>
      <c r="C24" s="92" t="s">
        <v>363</v>
      </c>
      <c r="D24" s="96">
        <v>0.5</v>
      </c>
      <c r="E24" s="93"/>
      <c r="F24" s="97">
        <v>0.038062786268069</v>
      </c>
      <c r="G24" s="97">
        <f t="shared" si="0"/>
        <v>0.038062786268069</v>
      </c>
      <c r="H24" s="97">
        <f t="shared" si="1"/>
        <v>0.0190313931340345</v>
      </c>
      <c r="I24" s="93"/>
      <c r="J24" s="97">
        <v>0.035169336146954</v>
      </c>
      <c r="K24" s="97">
        <f t="shared" si="2"/>
        <v>0.035169336146954</v>
      </c>
      <c r="L24" s="97">
        <f t="shared" si="3"/>
        <v>0.017584668073477</v>
      </c>
      <c r="M24" s="93"/>
      <c r="N24" s="97">
        <v>0.027492121630551394</v>
      </c>
      <c r="O24" s="97">
        <f t="shared" si="4"/>
        <v>0.027492121630551394</v>
      </c>
      <c r="P24" s="97">
        <f t="shared" si="5"/>
        <v>0.013746060815275697</v>
      </c>
      <c r="Q24" s="93"/>
      <c r="R24" s="97">
        <v>0.02933642087284913</v>
      </c>
      <c r="S24" s="97">
        <f t="shared" si="6"/>
        <v>0.02933642087284913</v>
      </c>
      <c r="T24" s="97">
        <f t="shared" si="7"/>
        <v>0.014668210436424566</v>
      </c>
      <c r="U24" s="93"/>
      <c r="V24" s="97"/>
      <c r="W24" s="93"/>
      <c r="X24" s="97"/>
      <c r="Y24" s="93"/>
      <c r="Z24" s="97"/>
      <c r="AA24" s="93"/>
      <c r="AB24" s="97"/>
      <c r="AC24" s="93"/>
      <c r="AD24" s="98"/>
      <c r="AE24" s="93"/>
      <c r="AF24" s="98"/>
      <c r="AG24" s="93"/>
      <c r="AH24" s="98"/>
      <c r="AI24" s="93"/>
      <c r="AJ24" s="98"/>
      <c r="AK24" s="93"/>
      <c r="AL24" s="98"/>
      <c r="AM24" s="93"/>
      <c r="AN24" s="98"/>
      <c r="AO24" s="93"/>
      <c r="AP24" s="98"/>
      <c r="AQ24" s="93"/>
      <c r="AR24" s="98"/>
    </row>
    <row r="25" spans="1:44" s="92" customFormat="1" ht="12.75">
      <c r="A25" s="92" t="s">
        <v>306</v>
      </c>
      <c r="B25" s="92">
        <v>21</v>
      </c>
      <c r="C25" s="92" t="s">
        <v>364</v>
      </c>
      <c r="D25" s="96">
        <v>0</v>
      </c>
      <c r="E25" s="93"/>
      <c r="F25" s="97">
        <v>0.6796210653390726</v>
      </c>
      <c r="G25" s="97">
        <f t="shared" si="0"/>
        <v>0.6796210653390726</v>
      </c>
      <c r="H25" s="97">
        <f t="shared" si="1"/>
        <v>0</v>
      </c>
      <c r="I25" s="93"/>
      <c r="J25" s="97">
        <v>0.5710132493859619</v>
      </c>
      <c r="K25" s="97">
        <f t="shared" si="2"/>
        <v>0.5710132493859619</v>
      </c>
      <c r="L25" s="97">
        <f t="shared" si="3"/>
        <v>0</v>
      </c>
      <c r="M25" s="93"/>
      <c r="N25" s="97">
        <v>0.39980068405107</v>
      </c>
      <c r="O25" s="97">
        <f t="shared" si="4"/>
        <v>0.39980068405107</v>
      </c>
      <c r="P25" s="97">
        <f t="shared" si="5"/>
        <v>0</v>
      </c>
      <c r="Q25" s="93"/>
      <c r="R25" s="97">
        <v>0.4672256441955237</v>
      </c>
      <c r="S25" s="97">
        <f t="shared" si="6"/>
        <v>0.4672256441955237</v>
      </c>
      <c r="T25" s="97">
        <f t="shared" si="7"/>
        <v>0</v>
      </c>
      <c r="U25" s="93"/>
      <c r="V25" s="97"/>
      <c r="W25" s="93"/>
      <c r="X25" s="97"/>
      <c r="Y25" s="93"/>
      <c r="Z25" s="97"/>
      <c r="AA25" s="93"/>
      <c r="AB25" s="97"/>
      <c r="AC25" s="93"/>
      <c r="AD25" s="98"/>
      <c r="AE25" s="93"/>
      <c r="AF25" s="98"/>
      <c r="AG25" s="93"/>
      <c r="AH25" s="98"/>
      <c r="AI25" s="93"/>
      <c r="AJ25" s="98"/>
      <c r="AK25" s="93"/>
      <c r="AL25" s="98"/>
      <c r="AM25" s="93"/>
      <c r="AN25" s="98"/>
      <c r="AO25" s="93"/>
      <c r="AP25" s="98"/>
      <c r="AQ25" s="93"/>
      <c r="AR25" s="98"/>
    </row>
    <row r="26" spans="1:44" s="92" customFormat="1" ht="12.75">
      <c r="A26" s="92" t="s">
        <v>306</v>
      </c>
      <c r="B26" s="92">
        <v>22</v>
      </c>
      <c r="C26" s="92" t="s">
        <v>365</v>
      </c>
      <c r="D26" s="96">
        <v>0</v>
      </c>
      <c r="E26" s="93"/>
      <c r="F26" s="97">
        <v>0.7512392026592549</v>
      </c>
      <c r="G26" s="97">
        <f t="shared" si="0"/>
        <v>0.7512392026592549</v>
      </c>
      <c r="H26" s="97">
        <f t="shared" si="1"/>
        <v>0</v>
      </c>
      <c r="I26" s="93"/>
      <c r="J26" s="97">
        <v>0.6350019026533366</v>
      </c>
      <c r="K26" s="97">
        <f t="shared" si="2"/>
        <v>0.6350019026533366</v>
      </c>
      <c r="L26" s="97">
        <f t="shared" si="3"/>
        <v>0</v>
      </c>
      <c r="M26" s="93"/>
      <c r="N26" s="97">
        <v>0.4473294367004973</v>
      </c>
      <c r="O26" s="97">
        <f t="shared" si="4"/>
        <v>0.4473294367004973</v>
      </c>
      <c r="P26" s="97">
        <f t="shared" si="5"/>
        <v>0</v>
      </c>
      <c r="Q26" s="93"/>
      <c r="R26" s="97">
        <v>0.5177015448149848</v>
      </c>
      <c r="S26" s="97">
        <f t="shared" si="6"/>
        <v>0.5177015448149848</v>
      </c>
      <c r="T26" s="97">
        <f t="shared" si="7"/>
        <v>0</v>
      </c>
      <c r="U26" s="93"/>
      <c r="V26" s="97"/>
      <c r="W26" s="93"/>
      <c r="X26" s="97"/>
      <c r="Y26" s="93"/>
      <c r="Z26" s="97"/>
      <c r="AA26" s="93"/>
      <c r="AB26" s="97"/>
      <c r="AC26" s="93"/>
      <c r="AD26" s="98"/>
      <c r="AE26" s="93"/>
      <c r="AF26" s="98"/>
      <c r="AG26" s="93"/>
      <c r="AH26" s="98"/>
      <c r="AI26" s="93"/>
      <c r="AJ26" s="98"/>
      <c r="AK26" s="93"/>
      <c r="AL26" s="98"/>
      <c r="AM26" s="93"/>
      <c r="AN26" s="98"/>
      <c r="AO26" s="93"/>
      <c r="AP26" s="98"/>
      <c r="AQ26" s="93"/>
      <c r="AR26" s="98"/>
    </row>
    <row r="27" spans="1:44" s="92" customFormat="1" ht="12.75">
      <c r="A27" s="92" t="s">
        <v>306</v>
      </c>
      <c r="B27" s="92">
        <v>23</v>
      </c>
      <c r="C27" s="92" t="s">
        <v>366</v>
      </c>
      <c r="D27" s="96">
        <v>0.1</v>
      </c>
      <c r="E27" s="93"/>
      <c r="F27" s="97">
        <v>0.14523957918079</v>
      </c>
      <c r="G27" s="97">
        <f t="shared" si="0"/>
        <v>0.14523957918079</v>
      </c>
      <c r="H27" s="97">
        <f t="shared" si="1"/>
        <v>0.014523957918079</v>
      </c>
      <c r="I27" s="93"/>
      <c r="J27" s="97">
        <v>0.11723112048984675</v>
      </c>
      <c r="K27" s="97">
        <f t="shared" si="2"/>
        <v>0.11723112048984675</v>
      </c>
      <c r="L27" s="97">
        <f t="shared" si="3"/>
        <v>0.011723112048984677</v>
      </c>
      <c r="M27" s="93"/>
      <c r="N27" s="97">
        <v>0.093193632645937</v>
      </c>
      <c r="O27" s="97">
        <f t="shared" si="4"/>
        <v>0.093193632645937</v>
      </c>
      <c r="P27" s="97">
        <f t="shared" si="5"/>
        <v>0.0093193632645937</v>
      </c>
      <c r="Q27" s="93"/>
      <c r="R27" s="97">
        <v>0.09059777034262231</v>
      </c>
      <c r="S27" s="97">
        <f t="shared" si="6"/>
        <v>0.09059777034262231</v>
      </c>
      <c r="T27" s="97">
        <f t="shared" si="7"/>
        <v>0.009059777034262232</v>
      </c>
      <c r="U27" s="93"/>
      <c r="V27" s="97"/>
      <c r="W27" s="93"/>
      <c r="X27" s="97"/>
      <c r="Y27" s="93"/>
      <c r="Z27" s="97"/>
      <c r="AA27" s="93"/>
      <c r="AB27" s="97"/>
      <c r="AC27" s="93"/>
      <c r="AD27" s="98"/>
      <c r="AE27" s="93"/>
      <c r="AF27" s="98"/>
      <c r="AG27" s="93"/>
      <c r="AH27" s="98"/>
      <c r="AI27" s="93"/>
      <c r="AJ27" s="98"/>
      <c r="AK27" s="93"/>
      <c r="AL27" s="98"/>
      <c r="AM27" s="93"/>
      <c r="AN27" s="98"/>
      <c r="AO27" s="93"/>
      <c r="AP27" s="98"/>
      <c r="AQ27" s="93"/>
      <c r="AR27" s="98"/>
    </row>
    <row r="28" spans="1:44" s="92" customFormat="1" ht="12.75">
      <c r="A28" s="92" t="s">
        <v>306</v>
      </c>
      <c r="B28" s="92">
        <v>24</v>
      </c>
      <c r="C28" s="92" t="s">
        <v>367</v>
      </c>
      <c r="D28" s="96">
        <v>0.1</v>
      </c>
      <c r="E28" s="93"/>
      <c r="F28" s="97">
        <v>0.13522305647866592</v>
      </c>
      <c r="G28" s="97">
        <f t="shared" si="0"/>
        <v>0.13522305647866592</v>
      </c>
      <c r="H28" s="97">
        <f t="shared" si="1"/>
        <v>0.013522305647866592</v>
      </c>
      <c r="I28" s="93"/>
      <c r="J28" s="97">
        <v>0.11234649046943647</v>
      </c>
      <c r="K28" s="97">
        <f t="shared" si="2"/>
        <v>0.11234649046943647</v>
      </c>
      <c r="L28" s="97">
        <f t="shared" si="3"/>
        <v>0.011234649046943648</v>
      </c>
      <c r="M28" s="93"/>
      <c r="N28" s="97">
        <v>0.08853395101364</v>
      </c>
      <c r="O28" s="97">
        <f t="shared" si="4"/>
        <v>0.08853395101364</v>
      </c>
      <c r="P28" s="97">
        <f t="shared" si="5"/>
        <v>0.008853395101364</v>
      </c>
      <c r="Q28" s="93"/>
      <c r="R28" s="97">
        <v>0.08196941126237257</v>
      </c>
      <c r="S28" s="97">
        <f t="shared" si="6"/>
        <v>0.08196941126237257</v>
      </c>
      <c r="T28" s="97">
        <f t="shared" si="7"/>
        <v>0.008196941126237258</v>
      </c>
      <c r="U28" s="93"/>
      <c r="V28" s="97"/>
      <c r="W28" s="93"/>
      <c r="X28" s="97"/>
      <c r="Y28" s="93"/>
      <c r="Z28" s="97"/>
      <c r="AA28" s="93"/>
      <c r="AB28" s="97"/>
      <c r="AC28" s="93"/>
      <c r="AD28" s="98"/>
      <c r="AE28" s="93"/>
      <c r="AF28" s="98"/>
      <c r="AG28" s="93"/>
      <c r="AH28" s="98"/>
      <c r="AI28" s="93"/>
      <c r="AJ28" s="98"/>
      <c r="AK28" s="93"/>
      <c r="AL28" s="98"/>
      <c r="AM28" s="93"/>
      <c r="AN28" s="98"/>
      <c r="AO28" s="93"/>
      <c r="AP28" s="98"/>
      <c r="AQ28" s="93"/>
      <c r="AR28" s="98"/>
    </row>
    <row r="29" spans="1:44" s="92" customFormat="1" ht="12.75">
      <c r="A29" s="92" t="s">
        <v>306</v>
      </c>
      <c r="B29" s="92">
        <v>25</v>
      </c>
      <c r="C29" s="92" t="s">
        <v>368</v>
      </c>
      <c r="D29" s="96">
        <v>0.1</v>
      </c>
      <c r="E29" s="93"/>
      <c r="F29" s="97">
        <v>0.027044611295733177</v>
      </c>
      <c r="G29" s="97">
        <f t="shared" si="0"/>
        <v>0.027044611295733177</v>
      </c>
      <c r="H29" s="97">
        <f t="shared" si="1"/>
        <v>0.002704461129573318</v>
      </c>
      <c r="I29" s="93"/>
      <c r="J29" s="97">
        <v>0.02491161310409243</v>
      </c>
      <c r="K29" s="97">
        <f t="shared" si="2"/>
        <v>0.02491161310409243</v>
      </c>
      <c r="L29" s="97">
        <f t="shared" si="3"/>
        <v>0.0024911613104092434</v>
      </c>
      <c r="M29" s="93"/>
      <c r="N29" s="97">
        <v>0.018638726529187386</v>
      </c>
      <c r="O29" s="97">
        <f t="shared" si="4"/>
        <v>0.018638726529187386</v>
      </c>
      <c r="P29" s="97">
        <f t="shared" si="5"/>
        <v>0.0018638726529187387</v>
      </c>
      <c r="Q29" s="93"/>
      <c r="R29" s="97">
        <v>0.018550972022537</v>
      </c>
      <c r="S29" s="97">
        <f t="shared" si="6"/>
        <v>0.018550972022537</v>
      </c>
      <c r="T29" s="97">
        <f t="shared" si="7"/>
        <v>0.0018550972022537</v>
      </c>
      <c r="U29" s="93"/>
      <c r="V29" s="97"/>
      <c r="W29" s="93"/>
      <c r="X29" s="97"/>
      <c r="Y29" s="93"/>
      <c r="Z29" s="97"/>
      <c r="AA29" s="93"/>
      <c r="AB29" s="97"/>
      <c r="AC29" s="93"/>
      <c r="AD29" s="98"/>
      <c r="AE29" s="93"/>
      <c r="AF29" s="98"/>
      <c r="AG29" s="93"/>
      <c r="AH29" s="98"/>
      <c r="AI29" s="93"/>
      <c r="AJ29" s="98"/>
      <c r="AK29" s="93"/>
      <c r="AL29" s="98"/>
      <c r="AM29" s="93"/>
      <c r="AN29" s="98"/>
      <c r="AO29" s="93"/>
      <c r="AP29" s="98"/>
      <c r="AQ29" s="93"/>
      <c r="AR29" s="98"/>
    </row>
    <row r="30" spans="1:44" s="92" customFormat="1" ht="12.75">
      <c r="A30" s="92" t="s">
        <v>306</v>
      </c>
      <c r="B30" s="92">
        <v>26</v>
      </c>
      <c r="C30" s="92" t="s">
        <v>369</v>
      </c>
      <c r="D30" s="96">
        <v>0.1</v>
      </c>
      <c r="E30" s="93"/>
      <c r="F30" s="97">
        <v>0.13522305647866592</v>
      </c>
      <c r="G30" s="97">
        <f t="shared" si="0"/>
        <v>0.13522305647866592</v>
      </c>
      <c r="H30" s="97">
        <f t="shared" si="1"/>
        <v>0.013522305647866592</v>
      </c>
      <c r="I30" s="93"/>
      <c r="J30" s="97">
        <v>0.12211575051025703</v>
      </c>
      <c r="K30" s="97">
        <f t="shared" si="2"/>
        <v>0.12211575051025703</v>
      </c>
      <c r="L30" s="97">
        <f t="shared" si="3"/>
        <v>0.012211575051025703</v>
      </c>
      <c r="M30" s="93"/>
      <c r="N30" s="97">
        <v>0.10251299591053</v>
      </c>
      <c r="O30" s="97">
        <f t="shared" si="4"/>
        <v>0.10251299591053</v>
      </c>
      <c r="P30" s="97">
        <f t="shared" si="5"/>
        <v>0.010251299591053</v>
      </c>
      <c r="Q30" s="93"/>
      <c r="R30" s="97">
        <v>0.09059777034262231</v>
      </c>
      <c r="S30" s="97">
        <f t="shared" si="6"/>
        <v>0.09059777034262231</v>
      </c>
      <c r="T30" s="97">
        <f t="shared" si="7"/>
        <v>0.009059777034262232</v>
      </c>
      <c r="U30" s="93"/>
      <c r="V30" s="97"/>
      <c r="W30" s="93"/>
      <c r="X30" s="97"/>
      <c r="Y30" s="93"/>
      <c r="Z30" s="97"/>
      <c r="AA30" s="93"/>
      <c r="AB30" s="97"/>
      <c r="AC30" s="93"/>
      <c r="AD30" s="98"/>
      <c r="AE30" s="93"/>
      <c r="AF30" s="98"/>
      <c r="AG30" s="93"/>
      <c r="AH30" s="98"/>
      <c r="AI30" s="93"/>
      <c r="AJ30" s="98"/>
      <c r="AK30" s="93"/>
      <c r="AL30" s="98"/>
      <c r="AM30" s="93"/>
      <c r="AN30" s="98"/>
      <c r="AO30" s="93"/>
      <c r="AP30" s="98"/>
      <c r="AQ30" s="93"/>
      <c r="AR30" s="98"/>
    </row>
    <row r="31" spans="1:44" s="92" customFormat="1" ht="12.75">
      <c r="A31" s="92" t="s">
        <v>306</v>
      </c>
      <c r="B31" s="92">
        <v>27</v>
      </c>
      <c r="C31" s="92" t="s">
        <v>370</v>
      </c>
      <c r="D31" s="96">
        <v>0</v>
      </c>
      <c r="E31" s="93"/>
      <c r="F31" s="97">
        <v>1.109830715395273</v>
      </c>
      <c r="G31" s="97">
        <f t="shared" si="0"/>
        <v>1.109830715395273</v>
      </c>
      <c r="H31" s="97">
        <f t="shared" si="1"/>
        <v>0</v>
      </c>
      <c r="I31" s="93"/>
      <c r="J31" s="97">
        <v>0.89339883073304</v>
      </c>
      <c r="K31" s="97">
        <f t="shared" si="2"/>
        <v>0.89339883073304</v>
      </c>
      <c r="L31" s="97">
        <f t="shared" si="3"/>
        <v>0</v>
      </c>
      <c r="M31" s="93"/>
      <c r="N31" s="97">
        <v>0.675653836683043</v>
      </c>
      <c r="O31" s="97">
        <f t="shared" si="4"/>
        <v>0.675653836683043</v>
      </c>
      <c r="P31" s="97">
        <f t="shared" si="5"/>
        <v>0</v>
      </c>
      <c r="Q31" s="93"/>
      <c r="R31" s="97">
        <v>0.6674035748573176</v>
      </c>
      <c r="S31" s="97">
        <f t="shared" si="6"/>
        <v>0.6674035748573176</v>
      </c>
      <c r="T31" s="97">
        <f t="shared" si="7"/>
        <v>0</v>
      </c>
      <c r="U31" s="93"/>
      <c r="V31" s="97"/>
      <c r="W31" s="93"/>
      <c r="X31" s="97"/>
      <c r="Y31" s="93"/>
      <c r="Z31" s="97"/>
      <c r="AA31" s="93"/>
      <c r="AB31" s="97"/>
      <c r="AC31" s="93"/>
      <c r="AD31" s="98"/>
      <c r="AE31" s="93"/>
      <c r="AF31" s="98"/>
      <c r="AG31" s="93"/>
      <c r="AH31" s="98"/>
      <c r="AI31" s="93"/>
      <c r="AJ31" s="98"/>
      <c r="AK31" s="93"/>
      <c r="AL31" s="98"/>
      <c r="AM31" s="93"/>
      <c r="AN31" s="98"/>
      <c r="AO31" s="93"/>
      <c r="AP31" s="98"/>
      <c r="AQ31" s="93"/>
      <c r="AR31" s="98"/>
    </row>
    <row r="32" spans="1:44" s="92" customFormat="1" ht="12.75">
      <c r="A32" s="92" t="s">
        <v>306</v>
      </c>
      <c r="B32" s="92">
        <v>28</v>
      </c>
      <c r="C32" s="92" t="s">
        <v>371</v>
      </c>
      <c r="D32" s="96">
        <v>0</v>
      </c>
      <c r="E32" s="93"/>
      <c r="F32" s="97">
        <v>1.552561018829127</v>
      </c>
      <c r="G32" s="97">
        <f t="shared" si="0"/>
        <v>1.552561018829127</v>
      </c>
      <c r="H32" s="97">
        <f t="shared" si="1"/>
        <v>0</v>
      </c>
      <c r="I32" s="93"/>
      <c r="J32" s="97">
        <v>1.2700038053066731</v>
      </c>
      <c r="K32" s="97">
        <f t="shared" si="2"/>
        <v>1.2700038053066731</v>
      </c>
      <c r="L32" s="97">
        <f t="shared" si="3"/>
        <v>0</v>
      </c>
      <c r="M32" s="93"/>
      <c r="N32" s="97">
        <v>0.9785331427823379</v>
      </c>
      <c r="O32" s="97">
        <f t="shared" si="4"/>
        <v>0.9785331427823379</v>
      </c>
      <c r="P32" s="97">
        <f t="shared" si="5"/>
        <v>0</v>
      </c>
      <c r="Q32" s="93"/>
      <c r="R32" s="97">
        <v>0.9491194988274717</v>
      </c>
      <c r="S32" s="97">
        <f t="shared" si="6"/>
        <v>0.9491194988274717</v>
      </c>
      <c r="T32" s="97">
        <f t="shared" si="7"/>
        <v>0</v>
      </c>
      <c r="U32" s="93"/>
      <c r="V32" s="97"/>
      <c r="W32" s="93"/>
      <c r="X32" s="97"/>
      <c r="Y32" s="93"/>
      <c r="Z32" s="97"/>
      <c r="AA32" s="93"/>
      <c r="AB32" s="97"/>
      <c r="AC32" s="93"/>
      <c r="AD32" s="98"/>
      <c r="AE32" s="93"/>
      <c r="AF32" s="98"/>
      <c r="AG32" s="93"/>
      <c r="AH32" s="98"/>
      <c r="AI32" s="93"/>
      <c r="AJ32" s="98"/>
      <c r="AK32" s="93"/>
      <c r="AL32" s="98"/>
      <c r="AM32" s="93"/>
      <c r="AN32" s="98"/>
      <c r="AO32" s="93"/>
      <c r="AP32" s="98"/>
      <c r="AQ32" s="93"/>
      <c r="AR32" s="98"/>
    </row>
    <row r="33" spans="1:44" s="92" customFormat="1" ht="12.75">
      <c r="A33" s="92" t="s">
        <v>306</v>
      </c>
      <c r="B33" s="92">
        <v>29</v>
      </c>
      <c r="C33" s="92" t="s">
        <v>372</v>
      </c>
      <c r="D33" s="96">
        <v>0.01</v>
      </c>
      <c r="E33" s="93"/>
      <c r="F33" s="97">
        <v>0.901487043191106</v>
      </c>
      <c r="G33" s="97">
        <f t="shared" si="0"/>
        <v>0.901487043191106</v>
      </c>
      <c r="H33" s="97">
        <f t="shared" si="1"/>
        <v>0.00901487043191106</v>
      </c>
      <c r="I33" s="93"/>
      <c r="J33" s="97">
        <v>0.732694503061542</v>
      </c>
      <c r="K33" s="97">
        <f t="shared" si="2"/>
        <v>0.732694503061542</v>
      </c>
      <c r="L33" s="97">
        <f t="shared" si="3"/>
        <v>0.00732694503061542</v>
      </c>
      <c r="M33" s="93"/>
      <c r="N33" s="97">
        <v>0.5591617958756216</v>
      </c>
      <c r="O33" s="97">
        <f t="shared" si="4"/>
        <v>0.5591617958756216</v>
      </c>
      <c r="P33" s="97">
        <f t="shared" si="5"/>
        <v>0.005591617958756217</v>
      </c>
      <c r="Q33" s="93"/>
      <c r="R33" s="97">
        <v>0.5177015448149848</v>
      </c>
      <c r="S33" s="97">
        <f t="shared" si="6"/>
        <v>0.5177015448149848</v>
      </c>
      <c r="T33" s="97">
        <f t="shared" si="7"/>
        <v>0.005177015448149848</v>
      </c>
      <c r="U33" s="93"/>
      <c r="V33" s="97"/>
      <c r="W33" s="93"/>
      <c r="X33" s="97"/>
      <c r="Y33" s="93"/>
      <c r="Z33" s="97"/>
      <c r="AA33" s="93"/>
      <c r="AB33" s="97"/>
      <c r="AC33" s="93"/>
      <c r="AD33" s="98"/>
      <c r="AE33" s="93"/>
      <c r="AF33" s="98"/>
      <c r="AG33" s="93"/>
      <c r="AH33" s="98"/>
      <c r="AI33" s="93"/>
      <c r="AJ33" s="98"/>
      <c r="AK33" s="93"/>
      <c r="AL33" s="98"/>
      <c r="AM33" s="93"/>
      <c r="AN33" s="98"/>
      <c r="AO33" s="93"/>
      <c r="AP33" s="98"/>
      <c r="AQ33" s="93"/>
      <c r="AR33" s="98"/>
    </row>
    <row r="34" spans="1:44" s="92" customFormat="1" ht="12.75">
      <c r="A34" s="92" t="s">
        <v>306</v>
      </c>
      <c r="B34" s="92">
        <v>30</v>
      </c>
      <c r="C34" s="92" t="s">
        <v>373</v>
      </c>
      <c r="D34" s="96">
        <v>0.01</v>
      </c>
      <c r="E34" s="93"/>
      <c r="F34" s="97">
        <v>0.11519001107442</v>
      </c>
      <c r="G34" s="97">
        <f t="shared" si="0"/>
        <v>0.11519001107442</v>
      </c>
      <c r="H34" s="97">
        <f t="shared" si="1"/>
        <v>0.0011519001107442</v>
      </c>
      <c r="I34" s="93"/>
      <c r="J34" s="97">
        <v>0.09280797038779535</v>
      </c>
      <c r="K34" s="97">
        <f t="shared" si="2"/>
        <v>0.09280797038779535</v>
      </c>
      <c r="L34" s="97">
        <f t="shared" si="3"/>
        <v>0.0009280797038779536</v>
      </c>
      <c r="M34" s="93"/>
      <c r="N34" s="97">
        <v>0.0698952244844527</v>
      </c>
      <c r="O34" s="97">
        <f t="shared" si="4"/>
        <v>0.0698952244844527</v>
      </c>
      <c r="P34" s="97">
        <f t="shared" si="5"/>
        <v>0.0006989522448445271</v>
      </c>
      <c r="Q34" s="93"/>
      <c r="R34" s="97">
        <v>0.05608433402162334</v>
      </c>
      <c r="S34" s="97">
        <f t="shared" si="6"/>
        <v>0.05608433402162334</v>
      </c>
      <c r="T34" s="97">
        <f t="shared" si="7"/>
        <v>0.0005608433402162334</v>
      </c>
      <c r="U34" s="93"/>
      <c r="V34" s="97"/>
      <c r="W34" s="93"/>
      <c r="X34" s="97"/>
      <c r="Y34" s="93"/>
      <c r="Z34" s="97"/>
      <c r="AA34" s="93"/>
      <c r="AB34" s="97"/>
      <c r="AC34" s="93"/>
      <c r="AD34" s="98"/>
      <c r="AE34" s="93"/>
      <c r="AF34" s="98"/>
      <c r="AG34" s="93"/>
      <c r="AH34" s="98"/>
      <c r="AI34" s="93"/>
      <c r="AJ34" s="98"/>
      <c r="AK34" s="93"/>
      <c r="AL34" s="98"/>
      <c r="AM34" s="93"/>
      <c r="AN34" s="98"/>
      <c r="AO34" s="93"/>
      <c r="AP34" s="98"/>
      <c r="AQ34" s="93"/>
      <c r="AR34" s="98"/>
    </row>
    <row r="35" spans="1:44" s="92" customFormat="1" ht="12.75">
      <c r="A35" s="92" t="s">
        <v>306</v>
      </c>
      <c r="B35" s="92">
        <v>31</v>
      </c>
      <c r="C35" s="92" t="s">
        <v>374</v>
      </c>
      <c r="D35" s="96">
        <v>0</v>
      </c>
      <c r="E35" s="93"/>
      <c r="F35" s="97">
        <v>0.73621441860607</v>
      </c>
      <c r="G35" s="97">
        <f t="shared" si="0"/>
        <v>0.73621441860607</v>
      </c>
      <c r="H35" s="97">
        <f t="shared" si="1"/>
        <v>0</v>
      </c>
      <c r="I35" s="93"/>
      <c r="J35" s="97">
        <v>0.5910402324696439</v>
      </c>
      <c r="K35" s="97">
        <f t="shared" si="2"/>
        <v>0.5910402324696439</v>
      </c>
      <c r="L35" s="97">
        <f t="shared" si="3"/>
        <v>0</v>
      </c>
      <c r="M35" s="93"/>
      <c r="N35" s="97">
        <v>0.4426697550682</v>
      </c>
      <c r="O35" s="97">
        <f t="shared" si="4"/>
        <v>0.4426697550682</v>
      </c>
      <c r="P35" s="97">
        <f t="shared" si="5"/>
        <v>0</v>
      </c>
      <c r="Q35" s="93"/>
      <c r="R35" s="97">
        <v>0.41847541539211264</v>
      </c>
      <c r="S35" s="97">
        <f t="shared" si="6"/>
        <v>0.41847541539211264</v>
      </c>
      <c r="T35" s="97">
        <f t="shared" si="7"/>
        <v>0</v>
      </c>
      <c r="U35" s="93"/>
      <c r="V35" s="97"/>
      <c r="W35" s="93"/>
      <c r="X35" s="97"/>
      <c r="Y35" s="93"/>
      <c r="Z35" s="97"/>
      <c r="AA35" s="93"/>
      <c r="AB35" s="97"/>
      <c r="AC35" s="93"/>
      <c r="AD35" s="98"/>
      <c r="AE35" s="93"/>
      <c r="AF35" s="98"/>
      <c r="AG35" s="93"/>
      <c r="AH35" s="98"/>
      <c r="AI35" s="93"/>
      <c r="AJ35" s="98"/>
      <c r="AK35" s="93"/>
      <c r="AL35" s="98"/>
      <c r="AM35" s="93"/>
      <c r="AN35" s="98"/>
      <c r="AO35" s="93"/>
      <c r="AP35" s="98"/>
      <c r="AQ35" s="93"/>
      <c r="AR35" s="98"/>
    </row>
    <row r="36" spans="1:44" s="92" customFormat="1" ht="12.75">
      <c r="A36" s="92" t="s">
        <v>306</v>
      </c>
      <c r="B36" s="92">
        <v>32</v>
      </c>
      <c r="C36" s="92" t="s">
        <v>375</v>
      </c>
      <c r="D36" s="96">
        <v>0</v>
      </c>
      <c r="E36" s="93"/>
      <c r="F36" s="97">
        <v>1.7528914728716</v>
      </c>
      <c r="G36" s="97">
        <f t="shared" si="0"/>
        <v>1.7528914728716</v>
      </c>
      <c r="H36" s="97">
        <f t="shared" si="1"/>
        <v>0</v>
      </c>
      <c r="I36" s="93"/>
      <c r="J36" s="97">
        <v>1.4165427059189812</v>
      </c>
      <c r="K36" s="97">
        <f t="shared" si="2"/>
        <v>1.4165427059189812</v>
      </c>
      <c r="L36" s="97">
        <f t="shared" si="3"/>
        <v>0</v>
      </c>
      <c r="M36" s="93"/>
      <c r="N36" s="97">
        <v>1.0717267754282747</v>
      </c>
      <c r="O36" s="97">
        <f t="shared" si="4"/>
        <v>1.0717267754282747</v>
      </c>
      <c r="P36" s="97">
        <f t="shared" si="5"/>
        <v>0</v>
      </c>
      <c r="Q36" s="93"/>
      <c r="R36" s="97">
        <v>0.99226129422872</v>
      </c>
      <c r="S36" s="97">
        <f t="shared" si="6"/>
        <v>0.99226129422872</v>
      </c>
      <c r="T36" s="97">
        <f t="shared" si="7"/>
        <v>0</v>
      </c>
      <c r="U36" s="93"/>
      <c r="V36" s="97"/>
      <c r="W36" s="93"/>
      <c r="X36" s="97"/>
      <c r="Y36" s="93"/>
      <c r="Z36" s="97"/>
      <c r="AA36" s="93"/>
      <c r="AB36" s="97"/>
      <c r="AC36" s="93"/>
      <c r="AD36" s="98"/>
      <c r="AE36" s="93"/>
      <c r="AF36" s="98"/>
      <c r="AG36" s="93"/>
      <c r="AH36" s="98"/>
      <c r="AI36" s="93"/>
      <c r="AJ36" s="98"/>
      <c r="AK36" s="93"/>
      <c r="AL36" s="98"/>
      <c r="AM36" s="93"/>
      <c r="AN36" s="98"/>
      <c r="AO36" s="93"/>
      <c r="AP36" s="98"/>
      <c r="AQ36" s="93"/>
      <c r="AR36" s="98"/>
    </row>
    <row r="37" spans="1:44" s="92" customFormat="1" ht="12.75">
      <c r="A37" s="92" t="s">
        <v>306</v>
      </c>
      <c r="B37" s="92">
        <v>33</v>
      </c>
      <c r="C37" s="92" t="s">
        <v>376</v>
      </c>
      <c r="D37" s="96">
        <v>0.001</v>
      </c>
      <c r="E37" s="93"/>
      <c r="F37" s="97">
        <v>1.0517348837229568</v>
      </c>
      <c r="G37" s="97">
        <f t="shared" si="0"/>
        <v>1.0517348837229568</v>
      </c>
      <c r="H37" s="97">
        <f t="shared" si="1"/>
        <v>0.0010517348837229567</v>
      </c>
      <c r="I37" s="93"/>
      <c r="J37" s="97">
        <v>0.6350019026533366</v>
      </c>
      <c r="K37" s="97">
        <f t="shared" si="2"/>
        <v>0.6350019026533366</v>
      </c>
      <c r="L37" s="97">
        <f t="shared" si="3"/>
        <v>0.0006350019026533366</v>
      </c>
      <c r="M37" s="93"/>
      <c r="N37" s="97">
        <v>0.5125649795526532</v>
      </c>
      <c r="O37" s="97">
        <f t="shared" si="4"/>
        <v>0.5125649795526532</v>
      </c>
      <c r="P37" s="97">
        <f t="shared" si="5"/>
        <v>0.0005125649795526533</v>
      </c>
      <c r="Q37" s="93"/>
      <c r="R37" s="97">
        <v>0.34082018366986494</v>
      </c>
      <c r="S37" s="97">
        <f t="shared" si="6"/>
        <v>0.34082018366986494</v>
      </c>
      <c r="T37" s="97">
        <f t="shared" si="7"/>
        <v>0.00034082018366986494</v>
      </c>
      <c r="U37" s="93"/>
      <c r="V37" s="97"/>
      <c r="W37" s="93"/>
      <c r="X37" s="97"/>
      <c r="Y37" s="93"/>
      <c r="Z37" s="97"/>
      <c r="AA37" s="93"/>
      <c r="AB37" s="97"/>
      <c r="AC37" s="93"/>
      <c r="AD37" s="98"/>
      <c r="AE37" s="93"/>
      <c r="AF37" s="98"/>
      <c r="AG37" s="93"/>
      <c r="AH37" s="98"/>
      <c r="AI37" s="93"/>
      <c r="AJ37" s="98"/>
      <c r="AK37" s="93"/>
      <c r="AL37" s="98"/>
      <c r="AM37" s="93"/>
      <c r="AN37" s="98"/>
      <c r="AO37" s="93"/>
      <c r="AP37" s="98"/>
      <c r="AQ37" s="93"/>
      <c r="AR37" s="98"/>
    </row>
    <row r="38" spans="1:44" s="92" customFormat="1" ht="12.75">
      <c r="A38" s="92" t="s">
        <v>306</v>
      </c>
      <c r="B38" s="92">
        <v>34</v>
      </c>
      <c r="C38" s="92" t="s">
        <v>377</v>
      </c>
      <c r="D38" s="96"/>
      <c r="E38" s="93"/>
      <c r="F38" s="97">
        <v>6.21374985826225</v>
      </c>
      <c r="G38" s="97">
        <f>SUM(G37,G36,G32,G26,G22,G19,G18,G15,G10,G7)</f>
        <v>6.213749858262255</v>
      </c>
      <c r="H38" s="97"/>
      <c r="I38" s="93"/>
      <c r="J38" s="97">
        <v>4.86069533331027</v>
      </c>
      <c r="K38" s="97">
        <f>SUM(K37,K36,K32,K26,K22,K19,K18,K15,K10,K7)</f>
        <v>4.860695333310271</v>
      </c>
      <c r="L38" s="97"/>
      <c r="M38" s="93"/>
      <c r="N38" s="97">
        <v>3.69466156624817</v>
      </c>
      <c r="O38" s="97">
        <f>SUM(O37,O36,O32,O26,O22,O19,O18,O15,O10,O7)</f>
        <v>3.69466156624817</v>
      </c>
      <c r="P38" s="97"/>
      <c r="Q38" s="93"/>
      <c r="R38" s="97">
        <v>3.566532225821232</v>
      </c>
      <c r="S38" s="97">
        <f>SUM(S37,S36,S32,S26,S22,S19,S18,S15,S10,S7)</f>
        <v>3.56653222582123</v>
      </c>
      <c r="T38" s="97"/>
      <c r="U38" s="93"/>
      <c r="V38" s="97"/>
      <c r="W38" s="93"/>
      <c r="X38" s="97"/>
      <c r="Y38" s="93"/>
      <c r="Z38" s="97"/>
      <c r="AA38" s="93"/>
      <c r="AB38" s="97"/>
      <c r="AC38" s="93"/>
      <c r="AD38" s="98"/>
      <c r="AE38" s="93"/>
      <c r="AF38" s="98"/>
      <c r="AG38" s="93"/>
      <c r="AH38" s="98"/>
      <c r="AI38" s="93"/>
      <c r="AJ38" s="98"/>
      <c r="AK38" s="93"/>
      <c r="AL38" s="98"/>
      <c r="AM38" s="93"/>
      <c r="AN38" s="98"/>
      <c r="AO38" s="93"/>
      <c r="AP38" s="98"/>
      <c r="AQ38" s="93"/>
      <c r="AR38" s="98"/>
    </row>
    <row r="39" spans="1:44" s="92" customFormat="1" ht="12.75">
      <c r="A39" s="92" t="s">
        <v>306</v>
      </c>
      <c r="B39" s="92">
        <v>35</v>
      </c>
      <c r="C39" s="92" t="s">
        <v>27</v>
      </c>
      <c r="D39" s="96"/>
      <c r="E39" s="94">
        <f>(F39-H39)*2/F39*100</f>
        <v>-2.97368537497299E-13</v>
      </c>
      <c r="F39" s="97">
        <v>0.08400356764135788</v>
      </c>
      <c r="G39" s="97"/>
      <c r="H39" s="97">
        <f>SUM(H5:H37)</f>
        <v>0.08400356764135801</v>
      </c>
      <c r="I39" s="94">
        <f>(J39-L39)*2/J39*100</f>
        <v>0</v>
      </c>
      <c r="J39" s="97">
        <v>0.07234625523229667</v>
      </c>
      <c r="K39" s="97"/>
      <c r="L39" s="97">
        <f>SUM(L5:L37)</f>
        <v>0.07234625523229667</v>
      </c>
      <c r="M39" s="94">
        <f>(N39-P39)*2/N39*100</f>
        <v>1.9374008953119035E-13</v>
      </c>
      <c r="N39" s="97">
        <v>0.05730476471398662</v>
      </c>
      <c r="O39" s="97"/>
      <c r="P39" s="97">
        <f>SUM(P5:P37)</f>
        <v>0.057304764713986565</v>
      </c>
      <c r="Q39" s="94">
        <f>(R39-T39)*2/R39*100</f>
        <v>-2.4876536602271168E-14</v>
      </c>
      <c r="R39" s="97">
        <v>0.05578665563335472</v>
      </c>
      <c r="S39" s="97"/>
      <c r="T39" s="97">
        <f>SUM(T5:T37)</f>
        <v>0.05578665563335473</v>
      </c>
      <c r="U39" s="93"/>
      <c r="V39" s="97"/>
      <c r="W39" s="93"/>
      <c r="X39" s="97"/>
      <c r="Y39" s="93"/>
      <c r="Z39" s="97"/>
      <c r="AA39" s="93"/>
      <c r="AB39" s="97"/>
      <c r="AC39" s="93"/>
      <c r="AD39" s="98"/>
      <c r="AE39" s="93"/>
      <c r="AF39" s="98"/>
      <c r="AG39" s="93"/>
      <c r="AH39" s="98"/>
      <c r="AI39" s="93"/>
      <c r="AJ39" s="98"/>
      <c r="AK39" s="93"/>
      <c r="AL39" s="98"/>
      <c r="AM39" s="93"/>
      <c r="AN39" s="98"/>
      <c r="AO39" s="93"/>
      <c r="AP39" s="98"/>
      <c r="AQ39" s="93"/>
      <c r="AR39" s="98"/>
    </row>
  </sheetData>
  <printOptions headings="1" horizontalCentered="1"/>
  <pageMargins left="0.25" right="0.25" top="0.5" bottom="0.5" header="0.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31"/>
  <sheetViews>
    <sheetView workbookViewId="0" topLeftCell="B1">
      <selection activeCell="B2" sqref="B2"/>
    </sheetView>
  </sheetViews>
  <sheetFormatPr defaultColWidth="9.140625" defaultRowHeight="12.75"/>
  <cols>
    <col min="1" max="1" width="2.28125" style="12" hidden="1" customWidth="1"/>
    <col min="2" max="2" width="24.8515625" style="12" customWidth="1"/>
    <col min="3" max="3" width="75.57421875" style="12" customWidth="1"/>
    <col min="4" max="4" width="11.00390625" style="12" hidden="1" customWidth="1"/>
    <col min="5" max="16384" width="8.8515625" style="12" customWidth="1"/>
  </cols>
  <sheetData>
    <row r="1" spans="2:4" ht="12.75">
      <c r="B1" s="6" t="s">
        <v>78</v>
      </c>
      <c r="D1" s="12" t="s">
        <v>116</v>
      </c>
    </row>
    <row r="3" spans="2:3" ht="12.75">
      <c r="B3" s="12" t="s">
        <v>104</v>
      </c>
      <c r="C3" s="13">
        <v>222</v>
      </c>
    </row>
    <row r="4" spans="2:4" ht="12.75">
      <c r="B4" s="12" t="s">
        <v>0</v>
      </c>
      <c r="C4" s="12" t="s">
        <v>127</v>
      </c>
      <c r="D4" s="61" t="s">
        <v>128</v>
      </c>
    </row>
    <row r="5" spans="2:4" ht="12.75">
      <c r="B5" s="12" t="s">
        <v>1</v>
      </c>
      <c r="C5" s="12" t="s">
        <v>129</v>
      </c>
      <c r="D5" s="61" t="s">
        <v>130</v>
      </c>
    </row>
    <row r="6" ht="12.75">
      <c r="B6" s="12" t="s">
        <v>2</v>
      </c>
    </row>
    <row r="7" spans="2:4" ht="12.75">
      <c r="B7" s="12" t="s">
        <v>3</v>
      </c>
      <c r="C7" s="12" t="s">
        <v>131</v>
      </c>
      <c r="D7" s="12" t="s">
        <v>130</v>
      </c>
    </row>
    <row r="8" spans="2:4" ht="12.75">
      <c r="B8" s="12" t="s">
        <v>4</v>
      </c>
      <c r="C8" s="12" t="s">
        <v>115</v>
      </c>
      <c r="D8" s="12" t="s">
        <v>130</v>
      </c>
    </row>
    <row r="9" spans="2:4" ht="12.75">
      <c r="B9" s="12" t="s">
        <v>5</v>
      </c>
      <c r="C9" s="12" t="s">
        <v>132</v>
      </c>
      <c r="D9" s="12" t="s">
        <v>117</v>
      </c>
    </row>
    <row r="10" ht="12.75">
      <c r="B10" s="12" t="s">
        <v>6</v>
      </c>
    </row>
    <row r="11" spans="2:3" ht="12.75">
      <c r="B11" s="12" t="s">
        <v>436</v>
      </c>
      <c r="C11" s="13">
        <v>0</v>
      </c>
    </row>
    <row r="12" spans="2:3" ht="12.75">
      <c r="B12" s="12" t="s">
        <v>382</v>
      </c>
      <c r="C12" s="12" t="s">
        <v>437</v>
      </c>
    </row>
    <row r="13" spans="2:3" ht="12.75">
      <c r="B13" s="12" t="s">
        <v>383</v>
      </c>
      <c r="C13" s="12" t="s">
        <v>384</v>
      </c>
    </row>
    <row r="14" spans="2:4" s="42" customFormat="1" ht="25.5">
      <c r="B14" s="42" t="s">
        <v>68</v>
      </c>
      <c r="C14" s="42" t="s">
        <v>385</v>
      </c>
      <c r="D14" s="42" t="s">
        <v>133</v>
      </c>
    </row>
    <row r="15" spans="2:3" s="42" customFormat="1" ht="12.75">
      <c r="B15" s="42" t="s">
        <v>75</v>
      </c>
      <c r="C15" s="43">
        <v>120</v>
      </c>
    </row>
    <row r="16" s="42" customFormat="1" ht="12.75">
      <c r="B16" s="12" t="s">
        <v>79</v>
      </c>
    </row>
    <row r="17" spans="2:3" s="42" customFormat="1" ht="12.75">
      <c r="B17" s="12" t="s">
        <v>438</v>
      </c>
      <c r="C17" s="42" t="s">
        <v>134</v>
      </c>
    </row>
    <row r="18" spans="2:3" s="42" customFormat="1" ht="12.75">
      <c r="B18" s="12" t="s">
        <v>439</v>
      </c>
      <c r="C18" s="42" t="s">
        <v>478</v>
      </c>
    </row>
    <row r="19" spans="2:4" ht="66" customHeight="1">
      <c r="B19" s="42" t="s">
        <v>7</v>
      </c>
      <c r="C19" s="42" t="s">
        <v>476</v>
      </c>
      <c r="D19" s="53" t="s">
        <v>135</v>
      </c>
    </row>
    <row r="20" spans="2:3" ht="12.75">
      <c r="B20" s="12" t="s">
        <v>73</v>
      </c>
      <c r="C20" s="42" t="s">
        <v>440</v>
      </c>
    </row>
    <row r="21" spans="2:3" ht="38.25">
      <c r="B21" s="53" t="s">
        <v>80</v>
      </c>
      <c r="C21" s="42" t="s">
        <v>485</v>
      </c>
    </row>
    <row r="22" ht="12.75">
      <c r="B22" s="12" t="s">
        <v>74</v>
      </c>
    </row>
    <row r="23" ht="12.75" customHeight="1"/>
    <row r="24" spans="2:3" ht="12.75">
      <c r="B24" s="12" t="s">
        <v>8</v>
      </c>
      <c r="C24" s="13"/>
    </row>
    <row r="25" spans="2:4" ht="12.75">
      <c r="B25" s="12" t="s">
        <v>9</v>
      </c>
      <c r="C25" s="46">
        <v>6</v>
      </c>
      <c r="D25" s="61" t="s">
        <v>171</v>
      </c>
    </row>
    <row r="26" spans="2:4" ht="12.75">
      <c r="B26" s="12" t="s">
        <v>10</v>
      </c>
      <c r="C26" s="13">
        <f>874-696</f>
        <v>178</v>
      </c>
      <c r="D26" s="61" t="s">
        <v>171</v>
      </c>
    </row>
    <row r="27" spans="2:3" ht="12.75">
      <c r="B27" s="12" t="s">
        <v>76</v>
      </c>
      <c r="C27" s="14">
        <f>('emiss 1'!S40/60/(1-'emiss 1'!S42/100)*((C28+460)/(70+460)))/(C25*C25*3.14159/4)</f>
        <v>51.696144104923555</v>
      </c>
    </row>
    <row r="28" spans="2:3" ht="14.25" customHeight="1">
      <c r="B28" s="12" t="s">
        <v>77</v>
      </c>
      <c r="C28" s="82">
        <f>'emiss 1'!S43</f>
        <v>200.33333333333334</v>
      </c>
    </row>
    <row r="29" ht="12" customHeight="1"/>
    <row r="30" ht="12.75">
      <c r="B30" s="12" t="s">
        <v>11</v>
      </c>
    </row>
    <row r="31" ht="12.75">
      <c r="B31" s="12" t="s">
        <v>92</v>
      </c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T39"/>
  <sheetViews>
    <sheetView workbookViewId="0" topLeftCell="C1">
      <selection activeCell="B2" sqref="B2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4" max="4" width="7.00390625" style="95" customWidth="1"/>
    <col min="5" max="5" width="4.8515625" style="0" customWidth="1"/>
    <col min="6" max="6" width="7.140625" style="0" bestFit="1" customWidth="1"/>
    <col min="7" max="7" width="7.7109375" style="69" customWidth="1"/>
    <col min="8" max="8" width="8.28125" style="69" customWidth="1"/>
    <col min="9" max="9" width="4.00390625" style="0" customWidth="1"/>
    <col min="10" max="10" width="7.140625" style="0" bestFit="1" customWidth="1"/>
    <col min="11" max="11" width="6.7109375" style="69" bestFit="1" customWidth="1"/>
    <col min="12" max="12" width="8.28125" style="69" customWidth="1"/>
    <col min="13" max="13" width="3.28125" style="0" customWidth="1"/>
    <col min="14" max="14" width="7.140625" style="0" bestFit="1" customWidth="1"/>
    <col min="15" max="15" width="7.7109375" style="69" customWidth="1"/>
    <col min="16" max="16" width="8.28125" style="69" customWidth="1"/>
    <col min="17" max="17" width="3.57421875" style="0" customWidth="1"/>
    <col min="19" max="19" width="7.7109375" style="69" customWidth="1"/>
    <col min="20" max="20" width="8.28125" style="69" customWidth="1"/>
    <col min="21" max="21" width="4.7109375" style="0" customWidth="1"/>
    <col min="23" max="23" width="7.7109375" style="69" customWidth="1"/>
    <col min="24" max="24" width="8.28125" style="69" customWidth="1"/>
    <col min="25" max="25" width="3.00390625" style="0" customWidth="1"/>
  </cols>
  <sheetData>
    <row r="1" ht="12.75">
      <c r="C1" s="6" t="s">
        <v>309</v>
      </c>
    </row>
    <row r="2" spans="5:24" ht="12.75">
      <c r="E2" s="133"/>
      <c r="F2" s="133" t="s">
        <v>54</v>
      </c>
      <c r="G2" s="134"/>
      <c r="H2" s="134"/>
      <c r="I2" s="119"/>
      <c r="J2" s="133" t="s">
        <v>109</v>
      </c>
      <c r="K2" s="134"/>
      <c r="L2" s="134"/>
      <c r="M2" s="119"/>
      <c r="N2" s="133" t="s">
        <v>55</v>
      </c>
      <c r="O2" s="134"/>
      <c r="P2" s="134"/>
      <c r="Q2" s="119"/>
      <c r="R2" s="133" t="s">
        <v>164</v>
      </c>
      <c r="S2" s="134"/>
      <c r="T2" s="134"/>
      <c r="U2" s="119"/>
      <c r="V2" s="133" t="s">
        <v>165</v>
      </c>
      <c r="W2" s="134"/>
      <c r="X2" s="134"/>
    </row>
    <row r="3" spans="4:24" ht="12.75">
      <c r="D3" s="95" t="s">
        <v>23</v>
      </c>
      <c r="F3" s="50" t="s">
        <v>25</v>
      </c>
      <c r="G3" s="110" t="s">
        <v>25</v>
      </c>
      <c r="H3" s="110" t="s">
        <v>27</v>
      </c>
      <c r="I3" s="50"/>
      <c r="J3" s="50" t="s">
        <v>25</v>
      </c>
      <c r="K3" s="110" t="s">
        <v>25</v>
      </c>
      <c r="L3" s="110" t="s">
        <v>27</v>
      </c>
      <c r="M3" s="50"/>
      <c r="N3" s="50" t="s">
        <v>25</v>
      </c>
      <c r="O3" s="110" t="s">
        <v>25</v>
      </c>
      <c r="P3" s="110" t="s">
        <v>27</v>
      </c>
      <c r="Q3" s="50"/>
      <c r="R3" s="50" t="s">
        <v>25</v>
      </c>
      <c r="S3" s="110" t="s">
        <v>25</v>
      </c>
      <c r="T3" s="110" t="s">
        <v>27</v>
      </c>
      <c r="V3" s="50" t="s">
        <v>25</v>
      </c>
      <c r="W3" s="110" t="s">
        <v>25</v>
      </c>
      <c r="X3" s="110" t="s">
        <v>27</v>
      </c>
    </row>
    <row r="4" spans="4:24" ht="12.75">
      <c r="D4" s="95" t="s">
        <v>342</v>
      </c>
      <c r="F4" s="50" t="s">
        <v>343</v>
      </c>
      <c r="G4" s="110" t="s">
        <v>71</v>
      </c>
      <c r="H4" s="110" t="s">
        <v>71</v>
      </c>
      <c r="I4" s="50"/>
      <c r="J4" s="50" t="s">
        <v>343</v>
      </c>
      <c r="K4" s="110" t="s">
        <v>71</v>
      </c>
      <c r="L4" s="110" t="s">
        <v>71</v>
      </c>
      <c r="M4" s="50"/>
      <c r="N4" s="50" t="s">
        <v>343</v>
      </c>
      <c r="O4" s="110" t="s">
        <v>71</v>
      </c>
      <c r="P4" s="110" t="s">
        <v>71</v>
      </c>
      <c r="Q4" s="50"/>
      <c r="R4" s="50" t="s">
        <v>343</v>
      </c>
      <c r="S4" s="110" t="s">
        <v>71</v>
      </c>
      <c r="T4" s="110" t="s">
        <v>71</v>
      </c>
      <c r="V4" s="50" t="s">
        <v>343</v>
      </c>
      <c r="W4" s="110" t="s">
        <v>71</v>
      </c>
      <c r="X4" s="110" t="s">
        <v>71</v>
      </c>
    </row>
    <row r="5" spans="1:46" s="92" customFormat="1" ht="12.75">
      <c r="A5" s="92" t="s">
        <v>309</v>
      </c>
      <c r="B5" s="92">
        <v>1</v>
      </c>
      <c r="C5" s="92" t="s">
        <v>344</v>
      </c>
      <c r="D5" s="96">
        <v>1</v>
      </c>
      <c r="E5" s="93"/>
      <c r="F5" s="97">
        <v>0</v>
      </c>
      <c r="G5" s="97">
        <f>IF(E5=1,F5/2,F5)</f>
        <v>0</v>
      </c>
      <c r="H5" s="97">
        <f>G5*$D5</f>
        <v>0</v>
      </c>
      <c r="I5" s="93"/>
      <c r="J5" s="97">
        <v>0</v>
      </c>
      <c r="K5" s="97">
        <f>IF(I5=1,J5/2,J5)</f>
        <v>0</v>
      </c>
      <c r="L5" s="97">
        <f>K5*$D5</f>
        <v>0</v>
      </c>
      <c r="M5" s="93"/>
      <c r="N5" s="97">
        <v>0</v>
      </c>
      <c r="O5" s="97">
        <f>IF(M5=1,N5/2,N5)</f>
        <v>0</v>
      </c>
      <c r="P5" s="97">
        <f>O5*$D5</f>
        <v>0</v>
      </c>
      <c r="Q5" s="93"/>
      <c r="R5" s="97">
        <v>0</v>
      </c>
      <c r="S5" s="97">
        <f>IF(Q5=1,R5/2,R5)</f>
        <v>0</v>
      </c>
      <c r="T5" s="97">
        <f>S5*$D5</f>
        <v>0</v>
      </c>
      <c r="U5" s="93"/>
      <c r="V5" s="97">
        <v>0</v>
      </c>
      <c r="W5" s="97">
        <f>IF(U5=1,V5/2,V5)</f>
        <v>0</v>
      </c>
      <c r="X5" s="97">
        <f>W5*$D5</f>
        <v>0</v>
      </c>
      <c r="Y5" s="93"/>
      <c r="Z5" s="97"/>
      <c r="AA5" s="93"/>
      <c r="AB5" s="97"/>
      <c r="AC5" s="93"/>
      <c r="AD5" s="97"/>
      <c r="AE5" s="93"/>
      <c r="AF5" s="98"/>
      <c r="AG5" s="93"/>
      <c r="AH5" s="98"/>
      <c r="AI5" s="93"/>
      <c r="AJ5" s="98"/>
      <c r="AK5" s="93"/>
      <c r="AL5" s="98"/>
      <c r="AM5" s="93"/>
      <c r="AN5" s="98"/>
      <c r="AO5" s="93"/>
      <c r="AP5" s="98"/>
      <c r="AQ5" s="93"/>
      <c r="AR5" s="98"/>
      <c r="AS5" s="93"/>
      <c r="AT5" s="98"/>
    </row>
    <row r="6" spans="1:46" s="92" customFormat="1" ht="12.75">
      <c r="A6" s="92" t="s">
        <v>309</v>
      </c>
      <c r="B6" s="92">
        <v>2</v>
      </c>
      <c r="C6" s="92" t="s">
        <v>345</v>
      </c>
      <c r="D6" s="96">
        <v>0</v>
      </c>
      <c r="E6" s="93"/>
      <c r="F6" s="97">
        <v>0.06100141882553922</v>
      </c>
      <c r="G6" s="97">
        <f aca="true" t="shared" si="0" ref="G6:G37">IF(E6=1,F6/2,F6)</f>
        <v>0.06100141882553922</v>
      </c>
      <c r="H6" s="97">
        <f aca="true" t="shared" si="1" ref="H6:H37">G6*$D6</f>
        <v>0</v>
      </c>
      <c r="I6" s="93"/>
      <c r="J6" s="97">
        <v>0.01557231078030133</v>
      </c>
      <c r="K6" s="97">
        <f aca="true" t="shared" si="2" ref="K6:K37">IF(I6=1,J6/2,J6)</f>
        <v>0.01557231078030133</v>
      </c>
      <c r="L6" s="97">
        <f aca="true" t="shared" si="3" ref="L6:L37">K6*$D6</f>
        <v>0</v>
      </c>
      <c r="M6" s="93"/>
      <c r="N6" s="97">
        <v>0.011286155892369</v>
      </c>
      <c r="O6" s="97">
        <f aca="true" t="shared" si="4" ref="O6:O37">IF(M6=1,N6/2,N6)</f>
        <v>0.011286155892369</v>
      </c>
      <c r="P6" s="97">
        <f aca="true" t="shared" si="5" ref="P6:P37">O6*$D6</f>
        <v>0</v>
      </c>
      <c r="Q6" s="93"/>
      <c r="R6" s="97">
        <v>0.010784430629042427</v>
      </c>
      <c r="S6" s="97">
        <f aca="true" t="shared" si="6" ref="S6:S37">IF(Q6=1,R6/2,R6)</f>
        <v>0.010784430629042427</v>
      </c>
      <c r="T6" s="97">
        <f aca="true" t="shared" si="7" ref="T6:T37">S6*$D6</f>
        <v>0</v>
      </c>
      <c r="U6" s="93"/>
      <c r="V6" s="97">
        <v>0.013372878828984</v>
      </c>
      <c r="W6" s="97">
        <f aca="true" t="shared" si="8" ref="W6:W37">IF(U6=1,V6/2,V6)</f>
        <v>0.013372878828984</v>
      </c>
      <c r="X6" s="97">
        <f aca="true" t="shared" si="9" ref="X6:X37">W6*$D6</f>
        <v>0</v>
      </c>
      <c r="Y6" s="93"/>
      <c r="Z6" s="97"/>
      <c r="AA6" s="93"/>
      <c r="AB6" s="97"/>
      <c r="AC6" s="93"/>
      <c r="AD6" s="97"/>
      <c r="AE6" s="93"/>
      <c r="AF6" s="98"/>
      <c r="AG6" s="93"/>
      <c r="AH6" s="98"/>
      <c r="AI6" s="93"/>
      <c r="AJ6" s="98"/>
      <c r="AK6" s="93"/>
      <c r="AL6" s="98"/>
      <c r="AM6" s="93"/>
      <c r="AN6" s="98"/>
      <c r="AO6" s="93"/>
      <c r="AP6" s="98"/>
      <c r="AQ6" s="93"/>
      <c r="AR6" s="98"/>
      <c r="AS6" s="93"/>
      <c r="AT6" s="98"/>
    </row>
    <row r="7" spans="1:46" s="92" customFormat="1" ht="12.75">
      <c r="A7" s="92" t="s">
        <v>309</v>
      </c>
      <c r="B7" s="92">
        <v>3</v>
      </c>
      <c r="C7" s="92" t="s">
        <v>346</v>
      </c>
      <c r="D7" s="96">
        <v>0</v>
      </c>
      <c r="E7" s="93"/>
      <c r="F7" s="97">
        <v>0.06100141882553922</v>
      </c>
      <c r="G7" s="97">
        <f t="shared" si="0"/>
        <v>0.06100141882553922</v>
      </c>
      <c r="H7" s="97">
        <f t="shared" si="1"/>
        <v>0</v>
      </c>
      <c r="I7" s="93"/>
      <c r="J7" s="97">
        <v>0.01557231078030133</v>
      </c>
      <c r="K7" s="97">
        <f t="shared" si="2"/>
        <v>0.01557231078030133</v>
      </c>
      <c r="L7" s="97">
        <f t="shared" si="3"/>
        <v>0</v>
      </c>
      <c r="M7" s="93"/>
      <c r="N7" s="97">
        <v>0.011286155892369</v>
      </c>
      <c r="O7" s="97">
        <f t="shared" si="4"/>
        <v>0.011286155892369</v>
      </c>
      <c r="P7" s="97">
        <f t="shared" si="5"/>
        <v>0</v>
      </c>
      <c r="Q7" s="93"/>
      <c r="R7" s="97">
        <v>0.010784430629042427</v>
      </c>
      <c r="S7" s="97">
        <f t="shared" si="6"/>
        <v>0.010784430629042427</v>
      </c>
      <c r="T7" s="97">
        <f t="shared" si="7"/>
        <v>0</v>
      </c>
      <c r="U7" s="93"/>
      <c r="V7" s="97">
        <v>0.013372878828984</v>
      </c>
      <c r="W7" s="97">
        <f t="shared" si="8"/>
        <v>0.013372878828984</v>
      </c>
      <c r="X7" s="97">
        <f t="shared" si="9"/>
        <v>0</v>
      </c>
      <c r="Y7" s="93"/>
      <c r="Z7" s="97"/>
      <c r="AA7" s="93"/>
      <c r="AB7" s="97"/>
      <c r="AC7" s="93"/>
      <c r="AD7" s="97"/>
      <c r="AE7" s="93"/>
      <c r="AF7" s="98"/>
      <c r="AG7" s="93"/>
      <c r="AH7" s="98"/>
      <c r="AI7" s="93"/>
      <c r="AJ7" s="98"/>
      <c r="AK7" s="93"/>
      <c r="AL7" s="98"/>
      <c r="AM7" s="93"/>
      <c r="AN7" s="98"/>
      <c r="AO7" s="93"/>
      <c r="AP7" s="98"/>
      <c r="AQ7" s="93"/>
      <c r="AR7" s="98"/>
      <c r="AS7" s="93"/>
      <c r="AT7" s="98"/>
    </row>
    <row r="8" spans="1:46" s="92" customFormat="1" ht="12.75">
      <c r="A8" s="92" t="s">
        <v>309</v>
      </c>
      <c r="B8" s="92">
        <v>4</v>
      </c>
      <c r="C8" s="92" t="s">
        <v>347</v>
      </c>
      <c r="D8" s="96">
        <v>0.5</v>
      </c>
      <c r="E8" s="93"/>
      <c r="F8" s="97">
        <v>0</v>
      </c>
      <c r="G8" s="97">
        <f t="shared" si="0"/>
        <v>0</v>
      </c>
      <c r="H8" s="97">
        <f t="shared" si="1"/>
        <v>0</v>
      </c>
      <c r="I8" s="93"/>
      <c r="J8" s="97">
        <v>0</v>
      </c>
      <c r="K8" s="97">
        <f t="shared" si="2"/>
        <v>0</v>
      </c>
      <c r="L8" s="97">
        <f t="shared" si="3"/>
        <v>0</v>
      </c>
      <c r="M8" s="93"/>
      <c r="N8" s="97">
        <v>0</v>
      </c>
      <c r="O8" s="97">
        <f t="shared" si="4"/>
        <v>0</v>
      </c>
      <c r="P8" s="97">
        <f t="shared" si="5"/>
        <v>0</v>
      </c>
      <c r="Q8" s="93"/>
      <c r="R8" s="97">
        <v>0</v>
      </c>
      <c r="S8" s="97">
        <f t="shared" si="6"/>
        <v>0</v>
      </c>
      <c r="T8" s="97">
        <f t="shared" si="7"/>
        <v>0</v>
      </c>
      <c r="U8" s="93"/>
      <c r="V8" s="97">
        <v>0</v>
      </c>
      <c r="W8" s="97">
        <f t="shared" si="8"/>
        <v>0</v>
      </c>
      <c r="X8" s="97">
        <f t="shared" si="9"/>
        <v>0</v>
      </c>
      <c r="Y8" s="93"/>
      <c r="Z8" s="97"/>
      <c r="AA8" s="93"/>
      <c r="AB8" s="97"/>
      <c r="AC8" s="93"/>
      <c r="AD8" s="97"/>
      <c r="AE8" s="93"/>
      <c r="AF8" s="98"/>
      <c r="AG8" s="93"/>
      <c r="AH8" s="98"/>
      <c r="AI8" s="93"/>
      <c r="AJ8" s="98"/>
      <c r="AK8" s="93"/>
      <c r="AL8" s="98"/>
      <c r="AM8" s="93"/>
      <c r="AN8" s="98"/>
      <c r="AO8" s="93"/>
      <c r="AP8" s="98"/>
      <c r="AQ8" s="93"/>
      <c r="AR8" s="98"/>
      <c r="AS8" s="93"/>
      <c r="AT8" s="98"/>
    </row>
    <row r="9" spans="1:46" s="92" customFormat="1" ht="12.75">
      <c r="A9" s="92" t="s">
        <v>309</v>
      </c>
      <c r="B9" s="92">
        <v>5</v>
      </c>
      <c r="C9" s="92" t="s">
        <v>348</v>
      </c>
      <c r="D9" s="96">
        <v>0</v>
      </c>
      <c r="E9" s="93"/>
      <c r="F9" s="97">
        <v>0.0432555515308369</v>
      </c>
      <c r="G9" s="97">
        <f t="shared" si="0"/>
        <v>0.0432555515308369</v>
      </c>
      <c r="H9" s="97">
        <f t="shared" si="1"/>
        <v>0</v>
      </c>
      <c r="I9" s="93"/>
      <c r="J9" s="97">
        <v>0.013842054026934515</v>
      </c>
      <c r="K9" s="97">
        <f t="shared" si="2"/>
        <v>0.013842054026934515</v>
      </c>
      <c r="L9" s="97">
        <f t="shared" si="3"/>
        <v>0</v>
      </c>
      <c r="M9" s="93"/>
      <c r="N9" s="97">
        <v>0.016703510720706242</v>
      </c>
      <c r="O9" s="97">
        <f t="shared" si="4"/>
        <v>0.016703510720706242</v>
      </c>
      <c r="P9" s="97">
        <f t="shared" si="5"/>
        <v>0</v>
      </c>
      <c r="Q9" s="93"/>
      <c r="R9" s="97">
        <v>0.012325063576048487</v>
      </c>
      <c r="S9" s="97">
        <f t="shared" si="6"/>
        <v>0.012325063576048487</v>
      </c>
      <c r="T9" s="97">
        <f t="shared" si="7"/>
        <v>0</v>
      </c>
      <c r="U9" s="93"/>
      <c r="V9" s="97">
        <v>0.01898086027339673</v>
      </c>
      <c r="W9" s="97">
        <f t="shared" si="8"/>
        <v>0.01898086027339673</v>
      </c>
      <c r="X9" s="97">
        <f t="shared" si="9"/>
        <v>0</v>
      </c>
      <c r="Y9" s="93"/>
      <c r="Z9" s="97"/>
      <c r="AA9" s="93"/>
      <c r="AB9" s="97"/>
      <c r="AC9" s="93"/>
      <c r="AD9" s="97"/>
      <c r="AE9" s="93"/>
      <c r="AF9" s="98"/>
      <c r="AG9" s="93"/>
      <c r="AH9" s="98"/>
      <c r="AI9" s="93"/>
      <c r="AJ9" s="98"/>
      <c r="AK9" s="93"/>
      <c r="AL9" s="98"/>
      <c r="AM9" s="93"/>
      <c r="AN9" s="98"/>
      <c r="AO9" s="93"/>
      <c r="AP9" s="98"/>
      <c r="AQ9" s="93"/>
      <c r="AR9" s="98"/>
      <c r="AS9" s="93"/>
      <c r="AT9" s="98"/>
    </row>
    <row r="10" spans="1:46" s="92" customFormat="1" ht="12.75">
      <c r="A10" s="92" t="s">
        <v>309</v>
      </c>
      <c r="B10" s="92">
        <v>6</v>
      </c>
      <c r="C10" s="92" t="s">
        <v>349</v>
      </c>
      <c r="D10" s="96">
        <v>0</v>
      </c>
      <c r="E10" s="93"/>
      <c r="F10" s="97">
        <v>0.043255551530837</v>
      </c>
      <c r="G10" s="97">
        <f t="shared" si="0"/>
        <v>0.043255551530837</v>
      </c>
      <c r="H10" s="97">
        <f t="shared" si="1"/>
        <v>0</v>
      </c>
      <c r="I10" s="93"/>
      <c r="J10" s="97">
        <v>0.013842054026934515</v>
      </c>
      <c r="K10" s="97">
        <f t="shared" si="2"/>
        <v>0.013842054026934515</v>
      </c>
      <c r="L10" s="97">
        <f t="shared" si="3"/>
        <v>0</v>
      </c>
      <c r="M10" s="93"/>
      <c r="N10" s="97">
        <v>0.016703510720706242</v>
      </c>
      <c r="O10" s="97">
        <f t="shared" si="4"/>
        <v>0.016703510720706242</v>
      </c>
      <c r="P10" s="97">
        <f t="shared" si="5"/>
        <v>0</v>
      </c>
      <c r="Q10" s="93"/>
      <c r="R10" s="97">
        <v>0.012325063576048487</v>
      </c>
      <c r="S10" s="97">
        <f t="shared" si="6"/>
        <v>0.012325063576048487</v>
      </c>
      <c r="T10" s="97">
        <f t="shared" si="7"/>
        <v>0</v>
      </c>
      <c r="U10" s="93"/>
      <c r="V10" s="97">
        <v>0.01898086027339673</v>
      </c>
      <c r="W10" s="97">
        <f t="shared" si="8"/>
        <v>0.01898086027339673</v>
      </c>
      <c r="X10" s="97">
        <f t="shared" si="9"/>
        <v>0</v>
      </c>
      <c r="Y10" s="93"/>
      <c r="Z10" s="97"/>
      <c r="AA10" s="93"/>
      <c r="AB10" s="97"/>
      <c r="AC10" s="93"/>
      <c r="AD10" s="97"/>
      <c r="AE10" s="93"/>
      <c r="AF10" s="98"/>
      <c r="AG10" s="93"/>
      <c r="AH10" s="98"/>
      <c r="AI10" s="93"/>
      <c r="AJ10" s="98"/>
      <c r="AK10" s="93"/>
      <c r="AL10" s="98"/>
      <c r="AM10" s="93"/>
      <c r="AN10" s="98"/>
      <c r="AO10" s="93"/>
      <c r="AP10" s="98"/>
      <c r="AQ10" s="93"/>
      <c r="AR10" s="98"/>
      <c r="AS10" s="93"/>
      <c r="AT10" s="98"/>
    </row>
    <row r="11" spans="1:46" s="92" customFormat="1" ht="12.75">
      <c r="A11" s="92" t="s">
        <v>309</v>
      </c>
      <c r="B11" s="92">
        <v>7</v>
      </c>
      <c r="C11" s="92" t="s">
        <v>350</v>
      </c>
      <c r="D11" s="96">
        <v>0.1</v>
      </c>
      <c r="E11" s="93"/>
      <c r="F11" s="97">
        <v>0</v>
      </c>
      <c r="G11" s="97">
        <f t="shared" si="0"/>
        <v>0</v>
      </c>
      <c r="H11" s="97">
        <f t="shared" si="1"/>
        <v>0</v>
      </c>
      <c r="I11" s="93"/>
      <c r="J11" s="97">
        <v>0</v>
      </c>
      <c r="K11" s="97">
        <f t="shared" si="2"/>
        <v>0</v>
      </c>
      <c r="L11" s="97">
        <f t="shared" si="3"/>
        <v>0</v>
      </c>
      <c r="M11" s="93"/>
      <c r="N11" s="97">
        <v>0</v>
      </c>
      <c r="O11" s="97">
        <f t="shared" si="4"/>
        <v>0</v>
      </c>
      <c r="P11" s="97">
        <f t="shared" si="5"/>
        <v>0</v>
      </c>
      <c r="Q11" s="93"/>
      <c r="R11" s="97">
        <v>0</v>
      </c>
      <c r="S11" s="97">
        <f t="shared" si="6"/>
        <v>0</v>
      </c>
      <c r="T11" s="97">
        <f t="shared" si="7"/>
        <v>0</v>
      </c>
      <c r="U11" s="93"/>
      <c r="V11" s="97">
        <v>0</v>
      </c>
      <c r="W11" s="97">
        <f t="shared" si="8"/>
        <v>0</v>
      </c>
      <c r="X11" s="97">
        <f t="shared" si="9"/>
        <v>0</v>
      </c>
      <c r="Y11" s="93"/>
      <c r="Z11" s="97"/>
      <c r="AA11" s="93"/>
      <c r="AB11" s="97"/>
      <c r="AC11" s="93"/>
      <c r="AD11" s="97"/>
      <c r="AE11" s="93"/>
      <c r="AF11" s="98"/>
      <c r="AG11" s="93"/>
      <c r="AH11" s="98"/>
      <c r="AI11" s="93"/>
      <c r="AJ11" s="98"/>
      <c r="AK11" s="93"/>
      <c r="AL11" s="98"/>
      <c r="AM11" s="93"/>
      <c r="AN11" s="98"/>
      <c r="AO11" s="93"/>
      <c r="AP11" s="98"/>
      <c r="AQ11" s="93"/>
      <c r="AR11" s="98"/>
      <c r="AS11" s="93"/>
      <c r="AT11" s="98"/>
    </row>
    <row r="12" spans="1:46" s="92" customFormat="1" ht="12.75">
      <c r="A12" s="92" t="s">
        <v>309</v>
      </c>
      <c r="B12" s="92">
        <v>8</v>
      </c>
      <c r="C12" s="92" t="s">
        <v>351</v>
      </c>
      <c r="D12" s="96">
        <v>0.1</v>
      </c>
      <c r="E12" s="93"/>
      <c r="F12" s="97">
        <v>0</v>
      </c>
      <c r="G12" s="97">
        <f t="shared" si="0"/>
        <v>0</v>
      </c>
      <c r="H12" s="97">
        <f t="shared" si="1"/>
        <v>0</v>
      </c>
      <c r="I12" s="93"/>
      <c r="J12" s="97">
        <v>0.0064884628251255525</v>
      </c>
      <c r="K12" s="97">
        <f t="shared" si="2"/>
        <v>0.0064884628251255525</v>
      </c>
      <c r="L12" s="97">
        <f t="shared" si="3"/>
        <v>0.0006488462825125552</v>
      </c>
      <c r="M12" s="93"/>
      <c r="N12" s="97">
        <v>0.0085774784782005</v>
      </c>
      <c r="O12" s="97">
        <f t="shared" si="4"/>
        <v>0.0085774784782005</v>
      </c>
      <c r="P12" s="97">
        <f t="shared" si="5"/>
        <v>0.00085774784782005</v>
      </c>
      <c r="Q12" s="93"/>
      <c r="R12" s="97">
        <v>0.007318006498278789</v>
      </c>
      <c r="S12" s="97">
        <f t="shared" si="6"/>
        <v>0.007318006498278789</v>
      </c>
      <c r="T12" s="97">
        <f t="shared" si="7"/>
        <v>0.0007318006498278789</v>
      </c>
      <c r="U12" s="93"/>
      <c r="V12" s="97">
        <v>0.007333514196539647</v>
      </c>
      <c r="W12" s="97">
        <f t="shared" si="8"/>
        <v>0.007333514196539647</v>
      </c>
      <c r="X12" s="97">
        <f t="shared" si="9"/>
        <v>0.0007333514196539647</v>
      </c>
      <c r="Y12" s="93"/>
      <c r="Z12" s="97"/>
      <c r="AA12" s="93"/>
      <c r="AB12" s="97"/>
      <c r="AC12" s="93"/>
      <c r="AD12" s="97"/>
      <c r="AE12" s="93"/>
      <c r="AF12" s="98"/>
      <c r="AG12" s="93"/>
      <c r="AH12" s="98"/>
      <c r="AI12" s="93"/>
      <c r="AJ12" s="98"/>
      <c r="AK12" s="93"/>
      <c r="AL12" s="98"/>
      <c r="AM12" s="93"/>
      <c r="AN12" s="98"/>
      <c r="AO12" s="93"/>
      <c r="AP12" s="98"/>
      <c r="AQ12" s="93"/>
      <c r="AR12" s="98"/>
      <c r="AS12" s="93"/>
      <c r="AT12" s="98"/>
    </row>
    <row r="13" spans="1:46" s="92" customFormat="1" ht="12.75">
      <c r="A13" s="92" t="s">
        <v>309</v>
      </c>
      <c r="B13" s="92">
        <v>9</v>
      </c>
      <c r="C13" s="92" t="s">
        <v>352</v>
      </c>
      <c r="D13" s="96">
        <v>0.1</v>
      </c>
      <c r="E13" s="93"/>
      <c r="F13" s="97">
        <v>0</v>
      </c>
      <c r="G13" s="97">
        <f t="shared" si="0"/>
        <v>0</v>
      </c>
      <c r="H13" s="97">
        <f t="shared" si="1"/>
        <v>0</v>
      </c>
      <c r="I13" s="93"/>
      <c r="J13" s="97">
        <v>0</v>
      </c>
      <c r="K13" s="97">
        <f t="shared" si="2"/>
        <v>0</v>
      </c>
      <c r="L13" s="97">
        <f t="shared" si="3"/>
        <v>0</v>
      </c>
      <c r="M13" s="93"/>
      <c r="N13" s="97">
        <v>0</v>
      </c>
      <c r="O13" s="97">
        <f t="shared" si="4"/>
        <v>0</v>
      </c>
      <c r="P13" s="97">
        <f t="shared" si="5"/>
        <v>0</v>
      </c>
      <c r="Q13" s="93"/>
      <c r="R13" s="97">
        <v>0</v>
      </c>
      <c r="S13" s="97">
        <f t="shared" si="6"/>
        <v>0</v>
      </c>
      <c r="T13" s="97">
        <f t="shared" si="7"/>
        <v>0</v>
      </c>
      <c r="U13" s="93"/>
      <c r="V13" s="97">
        <v>0</v>
      </c>
      <c r="W13" s="97">
        <f t="shared" si="8"/>
        <v>0</v>
      </c>
      <c r="X13" s="97">
        <f t="shared" si="9"/>
        <v>0</v>
      </c>
      <c r="Y13" s="93"/>
      <c r="Z13" s="97"/>
      <c r="AA13" s="93"/>
      <c r="AB13" s="97"/>
      <c r="AC13" s="93"/>
      <c r="AD13" s="97"/>
      <c r="AE13" s="93"/>
      <c r="AF13" s="98"/>
      <c r="AG13" s="93"/>
      <c r="AH13" s="98"/>
      <c r="AI13" s="93"/>
      <c r="AJ13" s="98"/>
      <c r="AK13" s="93"/>
      <c r="AL13" s="98"/>
      <c r="AM13" s="93"/>
      <c r="AN13" s="98"/>
      <c r="AO13" s="93"/>
      <c r="AP13" s="98"/>
      <c r="AQ13" s="93"/>
      <c r="AR13" s="98"/>
      <c r="AS13" s="93"/>
      <c r="AT13" s="98"/>
    </row>
    <row r="14" spans="1:46" s="92" customFormat="1" ht="12.75">
      <c r="A14" s="92" t="s">
        <v>309</v>
      </c>
      <c r="B14" s="92">
        <v>10</v>
      </c>
      <c r="C14" s="92" t="s">
        <v>353</v>
      </c>
      <c r="D14" s="96">
        <v>0</v>
      </c>
      <c r="E14" s="93"/>
      <c r="F14" s="97">
        <v>0.07763816941432265</v>
      </c>
      <c r="G14" s="97">
        <f t="shared" si="0"/>
        <v>0.07763816941432265</v>
      </c>
      <c r="H14" s="97">
        <f t="shared" si="1"/>
        <v>0</v>
      </c>
      <c r="I14" s="93"/>
      <c r="J14" s="97">
        <v>0.05839616542613</v>
      </c>
      <c r="K14" s="97">
        <f t="shared" si="2"/>
        <v>0.05839616542613</v>
      </c>
      <c r="L14" s="97">
        <f t="shared" si="3"/>
        <v>0</v>
      </c>
      <c r="M14" s="93"/>
      <c r="N14" s="97">
        <v>0.07268284394685685</v>
      </c>
      <c r="O14" s="97">
        <f t="shared" si="4"/>
        <v>0.07268284394685685</v>
      </c>
      <c r="P14" s="97">
        <f t="shared" si="5"/>
        <v>0</v>
      </c>
      <c r="Q14" s="93"/>
      <c r="R14" s="97">
        <v>0.05430731138196364</v>
      </c>
      <c r="S14" s="97">
        <f t="shared" si="6"/>
        <v>0.05430731138196364</v>
      </c>
      <c r="T14" s="97">
        <f t="shared" si="7"/>
        <v>0</v>
      </c>
      <c r="U14" s="93"/>
      <c r="V14" s="97">
        <v>0.061687795888539385</v>
      </c>
      <c r="W14" s="97">
        <f t="shared" si="8"/>
        <v>0.061687795888539385</v>
      </c>
      <c r="X14" s="97">
        <f t="shared" si="9"/>
        <v>0</v>
      </c>
      <c r="Y14" s="93"/>
      <c r="Z14" s="97"/>
      <c r="AA14" s="93"/>
      <c r="AB14" s="97"/>
      <c r="AC14" s="93"/>
      <c r="AD14" s="97"/>
      <c r="AE14" s="93"/>
      <c r="AF14" s="98"/>
      <c r="AG14" s="93"/>
      <c r="AH14" s="98"/>
      <c r="AI14" s="93"/>
      <c r="AJ14" s="98"/>
      <c r="AK14" s="93"/>
      <c r="AL14" s="98"/>
      <c r="AM14" s="93"/>
      <c r="AN14" s="98"/>
      <c r="AO14" s="93"/>
      <c r="AP14" s="98"/>
      <c r="AQ14" s="93"/>
      <c r="AR14" s="98"/>
      <c r="AS14" s="93"/>
      <c r="AT14" s="98"/>
    </row>
    <row r="15" spans="1:46" s="92" customFormat="1" ht="12.75">
      <c r="A15" s="92" t="s">
        <v>309</v>
      </c>
      <c r="B15" s="92">
        <v>11</v>
      </c>
      <c r="C15" s="92" t="s">
        <v>354</v>
      </c>
      <c r="D15" s="96">
        <v>0</v>
      </c>
      <c r="E15" s="93"/>
      <c r="F15" s="97">
        <v>0.07763816941432265</v>
      </c>
      <c r="G15" s="97">
        <f t="shared" si="0"/>
        <v>0.07763816941432265</v>
      </c>
      <c r="H15" s="97">
        <f t="shared" si="1"/>
        <v>0</v>
      </c>
      <c r="I15" s="93"/>
      <c r="J15" s="97">
        <v>0.06488462825125553</v>
      </c>
      <c r="K15" s="97">
        <f t="shared" si="2"/>
        <v>0.06488462825125553</v>
      </c>
      <c r="L15" s="97">
        <f t="shared" si="3"/>
        <v>0</v>
      </c>
      <c r="M15" s="93"/>
      <c r="N15" s="97">
        <v>0.08126032242505736</v>
      </c>
      <c r="O15" s="97">
        <f t="shared" si="4"/>
        <v>0.08126032242505736</v>
      </c>
      <c r="P15" s="97">
        <f t="shared" si="5"/>
        <v>0</v>
      </c>
      <c r="Q15" s="93"/>
      <c r="R15" s="97">
        <v>0.061625317880242426</v>
      </c>
      <c r="S15" s="97">
        <f t="shared" si="6"/>
        <v>0.061625317880242426</v>
      </c>
      <c r="T15" s="97">
        <f t="shared" si="7"/>
        <v>0</v>
      </c>
      <c r="U15" s="93"/>
      <c r="V15" s="97">
        <v>0.069021310085079</v>
      </c>
      <c r="W15" s="97">
        <f t="shared" si="8"/>
        <v>0.069021310085079</v>
      </c>
      <c r="X15" s="97">
        <f t="shared" si="9"/>
        <v>0</v>
      </c>
      <c r="Y15" s="93"/>
      <c r="Z15" s="97"/>
      <c r="AA15" s="93"/>
      <c r="AB15" s="97"/>
      <c r="AC15" s="93"/>
      <c r="AD15" s="97"/>
      <c r="AE15" s="93"/>
      <c r="AF15" s="98"/>
      <c r="AG15" s="93"/>
      <c r="AH15" s="98"/>
      <c r="AI15" s="93"/>
      <c r="AJ15" s="98"/>
      <c r="AK15" s="93"/>
      <c r="AL15" s="98"/>
      <c r="AM15" s="93"/>
      <c r="AN15" s="98"/>
      <c r="AO15" s="93"/>
      <c r="AP15" s="98"/>
      <c r="AQ15" s="93"/>
      <c r="AR15" s="98"/>
      <c r="AS15" s="93"/>
      <c r="AT15" s="98"/>
    </row>
    <row r="16" spans="1:46" s="92" customFormat="1" ht="12.75">
      <c r="A16" s="92" t="s">
        <v>309</v>
      </c>
      <c r="B16" s="92">
        <v>12</v>
      </c>
      <c r="C16" s="92" t="s">
        <v>355</v>
      </c>
      <c r="D16" s="96">
        <v>0.01</v>
      </c>
      <c r="E16" s="93"/>
      <c r="F16" s="97">
        <v>0.06100141882553922</v>
      </c>
      <c r="G16" s="97">
        <f t="shared" si="0"/>
        <v>0.06100141882553922</v>
      </c>
      <c r="H16" s="97">
        <f t="shared" si="1"/>
        <v>0.0006100141882553923</v>
      </c>
      <c r="I16" s="93"/>
      <c r="J16" s="97">
        <v>0.07353591201808961</v>
      </c>
      <c r="K16" s="97">
        <f t="shared" si="2"/>
        <v>0.07353591201808961</v>
      </c>
      <c r="L16" s="97">
        <f t="shared" si="3"/>
        <v>0.0007353591201808962</v>
      </c>
      <c r="M16" s="93"/>
      <c r="N16" s="97">
        <v>0.06771693535421448</v>
      </c>
      <c r="O16" s="97">
        <f t="shared" si="4"/>
        <v>0.06771693535421448</v>
      </c>
      <c r="P16" s="97">
        <f t="shared" si="5"/>
        <v>0.0006771693535421448</v>
      </c>
      <c r="Q16" s="93"/>
      <c r="R16" s="97">
        <v>0.03851582367515152</v>
      </c>
      <c r="S16" s="97">
        <f t="shared" si="6"/>
        <v>0.03851582367515152</v>
      </c>
      <c r="T16" s="97">
        <f t="shared" si="7"/>
        <v>0.00038515823675151523</v>
      </c>
      <c r="U16" s="93"/>
      <c r="V16" s="97">
        <v>0.035373421418603</v>
      </c>
      <c r="W16" s="97">
        <f t="shared" si="8"/>
        <v>0.035373421418603</v>
      </c>
      <c r="X16" s="97">
        <f t="shared" si="9"/>
        <v>0.00035373421418603005</v>
      </c>
      <c r="Y16" s="93"/>
      <c r="Z16" s="97"/>
      <c r="AA16" s="93"/>
      <c r="AB16" s="97"/>
      <c r="AC16" s="93"/>
      <c r="AD16" s="97"/>
      <c r="AE16" s="93"/>
      <c r="AF16" s="98"/>
      <c r="AG16" s="93"/>
      <c r="AH16" s="98"/>
      <c r="AI16" s="93"/>
      <c r="AJ16" s="98"/>
      <c r="AK16" s="93"/>
      <c r="AL16" s="98"/>
      <c r="AM16" s="93"/>
      <c r="AN16" s="98"/>
      <c r="AO16" s="93"/>
      <c r="AP16" s="98"/>
      <c r="AQ16" s="93"/>
      <c r="AR16" s="98"/>
      <c r="AS16" s="93"/>
      <c r="AT16" s="98"/>
    </row>
    <row r="17" spans="1:46" s="92" customFormat="1" ht="12.75">
      <c r="A17" s="92" t="s">
        <v>309</v>
      </c>
      <c r="B17" s="92">
        <v>13</v>
      </c>
      <c r="C17" s="92" t="s">
        <v>356</v>
      </c>
      <c r="D17" s="96">
        <v>0</v>
      </c>
      <c r="E17" s="93"/>
      <c r="F17" s="97">
        <v>0.05545583529594475</v>
      </c>
      <c r="G17" s="97">
        <f t="shared" si="0"/>
        <v>0.05545583529594475</v>
      </c>
      <c r="H17" s="97">
        <f t="shared" si="1"/>
        <v>0</v>
      </c>
      <c r="I17" s="93"/>
      <c r="J17" s="97">
        <v>0.08651283766834068</v>
      </c>
      <c r="K17" s="97">
        <f t="shared" si="2"/>
        <v>0.08651283766834068</v>
      </c>
      <c r="L17" s="97">
        <f t="shared" si="3"/>
        <v>0</v>
      </c>
      <c r="M17" s="93"/>
      <c r="N17" s="97">
        <v>0.06771693535421448</v>
      </c>
      <c r="O17" s="97">
        <f t="shared" si="4"/>
        <v>0.06771693535421448</v>
      </c>
      <c r="P17" s="97">
        <f t="shared" si="5"/>
        <v>0</v>
      </c>
      <c r="Q17" s="93"/>
      <c r="R17" s="97">
        <v>0.046218988410181835</v>
      </c>
      <c r="S17" s="97">
        <f t="shared" si="6"/>
        <v>0.046218988410181835</v>
      </c>
      <c r="T17" s="97">
        <f t="shared" si="7"/>
        <v>0</v>
      </c>
      <c r="U17" s="93"/>
      <c r="V17" s="97">
        <v>0.04658938430742833</v>
      </c>
      <c r="W17" s="97">
        <f t="shared" si="8"/>
        <v>0.04658938430742833</v>
      </c>
      <c r="X17" s="97">
        <f t="shared" si="9"/>
        <v>0</v>
      </c>
      <c r="Y17" s="93"/>
      <c r="Z17" s="97"/>
      <c r="AA17" s="93"/>
      <c r="AB17" s="97"/>
      <c r="AC17" s="93"/>
      <c r="AD17" s="97"/>
      <c r="AE17" s="93"/>
      <c r="AF17" s="98"/>
      <c r="AG17" s="93"/>
      <c r="AH17" s="98"/>
      <c r="AI17" s="93"/>
      <c r="AJ17" s="98"/>
      <c r="AK17" s="93"/>
      <c r="AL17" s="98"/>
      <c r="AM17" s="93"/>
      <c r="AN17" s="98"/>
      <c r="AO17" s="93"/>
      <c r="AP17" s="98"/>
      <c r="AQ17" s="93"/>
      <c r="AR17" s="98"/>
      <c r="AS17" s="93"/>
      <c r="AT17" s="98"/>
    </row>
    <row r="18" spans="1:46" s="92" customFormat="1" ht="12.75">
      <c r="A18" s="92" t="s">
        <v>309</v>
      </c>
      <c r="B18" s="92">
        <v>14</v>
      </c>
      <c r="C18" s="92" t="s">
        <v>357</v>
      </c>
      <c r="D18" s="96">
        <v>0</v>
      </c>
      <c r="E18" s="93"/>
      <c r="F18" s="97">
        <v>0.11645725412148397</v>
      </c>
      <c r="G18" s="97">
        <f t="shared" si="0"/>
        <v>0.11645725412148397</v>
      </c>
      <c r="H18" s="97">
        <f t="shared" si="1"/>
        <v>0</v>
      </c>
      <c r="I18" s="93"/>
      <c r="J18" s="97">
        <v>0.16004874968643</v>
      </c>
      <c r="K18" s="97">
        <f t="shared" si="2"/>
        <v>0.16004874968643</v>
      </c>
      <c r="L18" s="97">
        <f t="shared" si="3"/>
        <v>0</v>
      </c>
      <c r="M18" s="93"/>
      <c r="N18" s="97">
        <v>0.13543387070842897</v>
      </c>
      <c r="O18" s="97">
        <f t="shared" si="4"/>
        <v>0.13543387070842897</v>
      </c>
      <c r="P18" s="97">
        <f t="shared" si="5"/>
        <v>0</v>
      </c>
      <c r="Q18" s="93"/>
      <c r="R18" s="97">
        <v>0.08473481208533336</v>
      </c>
      <c r="S18" s="97">
        <f t="shared" si="6"/>
        <v>0.08473481208533336</v>
      </c>
      <c r="T18" s="97">
        <f t="shared" si="7"/>
        <v>0</v>
      </c>
      <c r="U18" s="93"/>
      <c r="V18" s="97">
        <v>0.08196280572603133</v>
      </c>
      <c r="W18" s="97">
        <f t="shared" si="8"/>
        <v>0.08196280572603133</v>
      </c>
      <c r="X18" s="97">
        <f t="shared" si="9"/>
        <v>0</v>
      </c>
      <c r="Y18" s="93"/>
      <c r="Z18" s="97"/>
      <c r="AA18" s="93"/>
      <c r="AB18" s="97"/>
      <c r="AC18" s="93"/>
      <c r="AD18" s="97"/>
      <c r="AE18" s="93"/>
      <c r="AF18" s="98"/>
      <c r="AG18" s="93"/>
      <c r="AH18" s="98"/>
      <c r="AI18" s="93"/>
      <c r="AJ18" s="98"/>
      <c r="AK18" s="93"/>
      <c r="AL18" s="98"/>
      <c r="AM18" s="93"/>
      <c r="AN18" s="98"/>
      <c r="AO18" s="93"/>
      <c r="AP18" s="98"/>
      <c r="AQ18" s="93"/>
      <c r="AR18" s="98"/>
      <c r="AS18" s="93"/>
      <c r="AT18" s="98"/>
    </row>
    <row r="19" spans="1:46" s="92" customFormat="1" ht="12.75">
      <c r="A19" s="92" t="s">
        <v>309</v>
      </c>
      <c r="B19" s="92">
        <v>15</v>
      </c>
      <c r="C19" s="92" t="s">
        <v>358</v>
      </c>
      <c r="D19" s="96">
        <v>0.001</v>
      </c>
      <c r="E19" s="93"/>
      <c r="F19" s="97">
        <v>0.42146434824918</v>
      </c>
      <c r="G19" s="97">
        <f t="shared" si="0"/>
        <v>0.42146434824918</v>
      </c>
      <c r="H19" s="97">
        <f t="shared" si="1"/>
        <v>0.00042146434824918</v>
      </c>
      <c r="I19" s="93"/>
      <c r="J19" s="97">
        <v>0.605589863678385</v>
      </c>
      <c r="K19" s="97">
        <f t="shared" si="2"/>
        <v>0.605589863678385</v>
      </c>
      <c r="L19" s="97">
        <f t="shared" si="3"/>
        <v>0.000605589863678385</v>
      </c>
      <c r="M19" s="93"/>
      <c r="N19" s="97">
        <v>0.2889255908446484</v>
      </c>
      <c r="O19" s="97">
        <f t="shared" si="4"/>
        <v>0.2889255908446484</v>
      </c>
      <c r="P19" s="97">
        <f t="shared" si="5"/>
        <v>0.0002889255908446484</v>
      </c>
      <c r="Q19" s="93"/>
      <c r="R19" s="97">
        <v>0.1463601299655758</v>
      </c>
      <c r="S19" s="97">
        <f t="shared" si="6"/>
        <v>0.1463601299655758</v>
      </c>
      <c r="T19" s="97">
        <f t="shared" si="7"/>
        <v>0.0001463601299655758</v>
      </c>
      <c r="U19" s="93"/>
      <c r="V19" s="97">
        <v>0.13372878828984</v>
      </c>
      <c r="W19" s="97">
        <f t="shared" si="8"/>
        <v>0.13372878828984</v>
      </c>
      <c r="X19" s="97">
        <f t="shared" si="9"/>
        <v>0.00013372878828984</v>
      </c>
      <c r="Y19" s="93"/>
      <c r="Z19" s="97"/>
      <c r="AA19" s="93"/>
      <c r="AB19" s="97"/>
      <c r="AC19" s="93"/>
      <c r="AD19" s="97"/>
      <c r="AE19" s="93"/>
      <c r="AF19" s="98"/>
      <c r="AG19" s="93"/>
      <c r="AH19" s="98"/>
      <c r="AI19" s="93"/>
      <c r="AJ19" s="98"/>
      <c r="AK19" s="93"/>
      <c r="AL19" s="98"/>
      <c r="AM19" s="93"/>
      <c r="AN19" s="98"/>
      <c r="AO19" s="93"/>
      <c r="AP19" s="98"/>
      <c r="AQ19" s="93"/>
      <c r="AR19" s="98"/>
      <c r="AS19" s="93"/>
      <c r="AT19" s="98"/>
    </row>
    <row r="20" spans="1:46" s="92" customFormat="1" ht="12.75">
      <c r="A20" s="92" t="s">
        <v>309</v>
      </c>
      <c r="B20" s="92">
        <v>16</v>
      </c>
      <c r="C20" s="92" t="s">
        <v>359</v>
      </c>
      <c r="D20" s="96">
        <v>0.1</v>
      </c>
      <c r="E20" s="93"/>
      <c r="F20" s="97">
        <v>0.006100141882553922</v>
      </c>
      <c r="G20" s="97">
        <f t="shared" si="0"/>
        <v>0.006100141882553922</v>
      </c>
      <c r="H20" s="97">
        <f t="shared" si="1"/>
        <v>0.0006100141882553923</v>
      </c>
      <c r="I20" s="93"/>
      <c r="J20" s="97">
        <v>0.004152616208080355</v>
      </c>
      <c r="K20" s="97">
        <f t="shared" si="2"/>
        <v>0.004152616208080355</v>
      </c>
      <c r="L20" s="97">
        <f t="shared" si="3"/>
        <v>0.0004152616208080355</v>
      </c>
      <c r="M20" s="93"/>
      <c r="N20" s="97">
        <v>0.0024829542963212</v>
      </c>
      <c r="O20" s="97">
        <f t="shared" si="4"/>
        <v>0.0024829542963212</v>
      </c>
      <c r="P20" s="97">
        <f t="shared" si="5"/>
        <v>0.00024829542963212</v>
      </c>
      <c r="Q20" s="93"/>
      <c r="R20" s="97">
        <v>0.002927202599311516</v>
      </c>
      <c r="S20" s="97">
        <f t="shared" si="6"/>
        <v>0.002927202599311516</v>
      </c>
      <c r="T20" s="97">
        <f t="shared" si="7"/>
        <v>0.00029272025993115164</v>
      </c>
      <c r="U20" s="93"/>
      <c r="V20" s="97">
        <v>0.002588299128190463</v>
      </c>
      <c r="W20" s="97">
        <f t="shared" si="8"/>
        <v>0.002588299128190463</v>
      </c>
      <c r="X20" s="97">
        <f t="shared" si="9"/>
        <v>0.00025882991281904634</v>
      </c>
      <c r="Y20" s="93"/>
      <c r="Z20" s="97"/>
      <c r="AA20" s="93"/>
      <c r="AB20" s="97"/>
      <c r="AC20" s="93"/>
      <c r="AD20" s="97"/>
      <c r="AE20" s="93"/>
      <c r="AF20" s="98"/>
      <c r="AG20" s="93"/>
      <c r="AH20" s="98"/>
      <c r="AI20" s="93"/>
      <c r="AJ20" s="98"/>
      <c r="AK20" s="93"/>
      <c r="AL20" s="98"/>
      <c r="AM20" s="93"/>
      <c r="AN20" s="98"/>
      <c r="AO20" s="93"/>
      <c r="AP20" s="98"/>
      <c r="AQ20" s="93"/>
      <c r="AR20" s="98"/>
      <c r="AS20" s="93"/>
      <c r="AT20" s="98"/>
    </row>
    <row r="21" spans="1:46" s="92" customFormat="1" ht="12.75">
      <c r="A21" s="92" t="s">
        <v>309</v>
      </c>
      <c r="B21" s="92">
        <v>17</v>
      </c>
      <c r="C21" s="92" t="s">
        <v>360</v>
      </c>
      <c r="D21" s="96">
        <v>0</v>
      </c>
      <c r="E21" s="93"/>
      <c r="F21" s="97">
        <v>0.354362787541087</v>
      </c>
      <c r="G21" s="97">
        <f t="shared" si="0"/>
        <v>0.354362787541087</v>
      </c>
      <c r="H21" s="97">
        <f t="shared" si="1"/>
        <v>0</v>
      </c>
      <c r="I21" s="93"/>
      <c r="J21" s="97">
        <v>0.14724484971151588</v>
      </c>
      <c r="K21" s="97">
        <f t="shared" si="2"/>
        <v>0.14724484971151588</v>
      </c>
      <c r="L21" s="97">
        <f t="shared" si="3"/>
        <v>0</v>
      </c>
      <c r="M21" s="93"/>
      <c r="N21" s="97">
        <v>0.11940752934126488</v>
      </c>
      <c r="O21" s="97">
        <f t="shared" si="4"/>
        <v>0.11940752934126488</v>
      </c>
      <c r="P21" s="97">
        <f t="shared" si="5"/>
        <v>0</v>
      </c>
      <c r="Q21" s="93"/>
      <c r="R21" s="97">
        <v>0.10491710369111275</v>
      </c>
      <c r="S21" s="97">
        <f t="shared" si="6"/>
        <v>0.10491710369111275</v>
      </c>
      <c r="T21" s="97">
        <f t="shared" si="7"/>
        <v>0</v>
      </c>
      <c r="U21" s="93"/>
      <c r="V21" s="97">
        <v>0.169964976084507</v>
      </c>
      <c r="W21" s="97">
        <f t="shared" si="8"/>
        <v>0.169964976084507</v>
      </c>
      <c r="X21" s="97">
        <f t="shared" si="9"/>
        <v>0</v>
      </c>
      <c r="Y21" s="93"/>
      <c r="Z21" s="97"/>
      <c r="AA21" s="93"/>
      <c r="AB21" s="97"/>
      <c r="AC21" s="93"/>
      <c r="AD21" s="97"/>
      <c r="AE21" s="93"/>
      <c r="AF21" s="98"/>
      <c r="AG21" s="93"/>
      <c r="AH21" s="98"/>
      <c r="AI21" s="93"/>
      <c r="AJ21" s="98"/>
      <c r="AK21" s="93"/>
      <c r="AL21" s="98"/>
      <c r="AM21" s="93"/>
      <c r="AN21" s="98"/>
      <c r="AO21" s="93"/>
      <c r="AP21" s="98"/>
      <c r="AQ21" s="93"/>
      <c r="AR21" s="98"/>
      <c r="AS21" s="93"/>
      <c r="AT21" s="98"/>
    </row>
    <row r="22" spans="1:46" s="92" customFormat="1" ht="12.75">
      <c r="A22" s="92" t="s">
        <v>309</v>
      </c>
      <c r="B22" s="92">
        <v>18</v>
      </c>
      <c r="C22" s="92" t="s">
        <v>361</v>
      </c>
      <c r="D22" s="96">
        <v>0</v>
      </c>
      <c r="E22" s="93"/>
      <c r="F22" s="97">
        <v>0.36046292942364</v>
      </c>
      <c r="G22" s="97">
        <f t="shared" si="0"/>
        <v>0.36046292942364</v>
      </c>
      <c r="H22" s="97">
        <f t="shared" si="1"/>
        <v>0</v>
      </c>
      <c r="I22" s="93"/>
      <c r="J22" s="97">
        <v>0.15139746591959624</v>
      </c>
      <c r="K22" s="97">
        <f t="shared" si="2"/>
        <v>0.15139746591959624</v>
      </c>
      <c r="L22" s="97">
        <f t="shared" si="3"/>
        <v>0</v>
      </c>
      <c r="M22" s="93"/>
      <c r="N22" s="97">
        <v>0.12189048363758608</v>
      </c>
      <c r="O22" s="97">
        <f t="shared" si="4"/>
        <v>0.12189048363758608</v>
      </c>
      <c r="P22" s="97">
        <f t="shared" si="5"/>
        <v>0</v>
      </c>
      <c r="Q22" s="93"/>
      <c r="R22" s="97">
        <v>0.10784430629042427</v>
      </c>
      <c r="S22" s="97">
        <f t="shared" si="6"/>
        <v>0.10784430629042427</v>
      </c>
      <c r="T22" s="97">
        <f t="shared" si="7"/>
        <v>0</v>
      </c>
      <c r="U22" s="93"/>
      <c r="V22" s="97">
        <v>0.17255327521269756</v>
      </c>
      <c r="W22" s="97">
        <f t="shared" si="8"/>
        <v>0.17255327521269756</v>
      </c>
      <c r="X22" s="97">
        <f t="shared" si="9"/>
        <v>0</v>
      </c>
      <c r="Y22" s="93"/>
      <c r="Z22" s="97"/>
      <c r="AA22" s="93"/>
      <c r="AB22" s="97"/>
      <c r="AC22" s="93"/>
      <c r="AD22" s="97"/>
      <c r="AE22" s="93"/>
      <c r="AF22" s="98"/>
      <c r="AG22" s="93"/>
      <c r="AH22" s="98"/>
      <c r="AI22" s="93"/>
      <c r="AJ22" s="98"/>
      <c r="AK22" s="93"/>
      <c r="AL22" s="98"/>
      <c r="AM22" s="93"/>
      <c r="AN22" s="98"/>
      <c r="AO22" s="93"/>
      <c r="AP22" s="98"/>
      <c r="AQ22" s="93"/>
      <c r="AR22" s="98"/>
      <c r="AS22" s="93"/>
      <c r="AT22" s="98"/>
    </row>
    <row r="23" spans="1:46" s="92" customFormat="1" ht="12.75">
      <c r="A23" s="92" t="s">
        <v>309</v>
      </c>
      <c r="B23" s="92">
        <v>19</v>
      </c>
      <c r="C23" s="92" t="s">
        <v>362</v>
      </c>
      <c r="D23" s="96">
        <v>0.05</v>
      </c>
      <c r="E23" s="93"/>
      <c r="F23" s="97">
        <v>0.012200283765107844</v>
      </c>
      <c r="G23" s="97">
        <f t="shared" si="0"/>
        <v>0.012200283765107844</v>
      </c>
      <c r="H23" s="97">
        <f t="shared" si="1"/>
        <v>0.0006100141882553923</v>
      </c>
      <c r="I23" s="93"/>
      <c r="J23" s="97">
        <v>0.009948976331859182</v>
      </c>
      <c r="K23" s="97">
        <f t="shared" si="2"/>
        <v>0.009948976331859182</v>
      </c>
      <c r="L23" s="97">
        <f t="shared" si="3"/>
        <v>0.0004974488165929591</v>
      </c>
      <c r="M23" s="93"/>
      <c r="N23" s="97">
        <v>0.009028924713895263</v>
      </c>
      <c r="O23" s="97">
        <f t="shared" si="4"/>
        <v>0.009028924713895263</v>
      </c>
      <c r="P23" s="97">
        <f t="shared" si="5"/>
        <v>0.00045144623569476317</v>
      </c>
      <c r="Q23" s="93"/>
      <c r="R23" s="97">
        <v>0.00962895591878788</v>
      </c>
      <c r="S23" s="97">
        <f t="shared" si="6"/>
        <v>0.00962895591878788</v>
      </c>
      <c r="T23" s="97">
        <f t="shared" si="7"/>
        <v>0.00048144779593939407</v>
      </c>
      <c r="U23" s="93"/>
      <c r="V23" s="97">
        <v>0.0099218133247301</v>
      </c>
      <c r="W23" s="97">
        <f t="shared" si="8"/>
        <v>0.0099218133247301</v>
      </c>
      <c r="X23" s="97">
        <f t="shared" si="9"/>
        <v>0.000496090666236505</v>
      </c>
      <c r="Y23" s="93"/>
      <c r="Z23" s="97"/>
      <c r="AA23" s="93"/>
      <c r="AB23" s="97"/>
      <c r="AC23" s="93"/>
      <c r="AD23" s="97"/>
      <c r="AE23" s="93"/>
      <c r="AF23" s="98"/>
      <c r="AG23" s="93"/>
      <c r="AH23" s="98"/>
      <c r="AI23" s="93"/>
      <c r="AJ23" s="98"/>
      <c r="AK23" s="93"/>
      <c r="AL23" s="98"/>
      <c r="AM23" s="93"/>
      <c r="AN23" s="98"/>
      <c r="AO23" s="93"/>
      <c r="AP23" s="98"/>
      <c r="AQ23" s="93"/>
      <c r="AR23" s="98"/>
      <c r="AS23" s="93"/>
      <c r="AT23" s="98"/>
    </row>
    <row r="24" spans="1:46" s="92" customFormat="1" ht="12.75">
      <c r="A24" s="92" t="s">
        <v>309</v>
      </c>
      <c r="B24" s="92">
        <v>20</v>
      </c>
      <c r="C24" s="92" t="s">
        <v>363</v>
      </c>
      <c r="D24" s="96">
        <v>0.5</v>
      </c>
      <c r="E24" s="93"/>
      <c r="F24" s="97">
        <v>0.01996410070654011</v>
      </c>
      <c r="G24" s="97">
        <f t="shared" si="0"/>
        <v>0.01996410070654011</v>
      </c>
      <c r="H24" s="97">
        <f t="shared" si="1"/>
        <v>0.009982050353270055</v>
      </c>
      <c r="I24" s="93"/>
      <c r="J24" s="97">
        <v>0.013409489838592812</v>
      </c>
      <c r="K24" s="97">
        <f t="shared" si="2"/>
        <v>0.013409489838592812</v>
      </c>
      <c r="L24" s="97">
        <f t="shared" si="3"/>
        <v>0.006704744919296406</v>
      </c>
      <c r="M24" s="93"/>
      <c r="N24" s="97">
        <v>0.014897725777927185</v>
      </c>
      <c r="O24" s="97">
        <f t="shared" si="4"/>
        <v>0.014897725777927185</v>
      </c>
      <c r="P24" s="97">
        <f t="shared" si="5"/>
        <v>0.0074488628889635925</v>
      </c>
      <c r="Q24" s="93"/>
      <c r="R24" s="97">
        <v>0.015406329470060607</v>
      </c>
      <c r="S24" s="97">
        <f t="shared" si="6"/>
        <v>0.015406329470060607</v>
      </c>
      <c r="T24" s="97">
        <f t="shared" si="7"/>
        <v>0.007703164735030303</v>
      </c>
      <c r="U24" s="93"/>
      <c r="V24" s="97">
        <v>0.010353196512761852</v>
      </c>
      <c r="W24" s="97">
        <f t="shared" si="8"/>
        <v>0.010353196512761852</v>
      </c>
      <c r="X24" s="97">
        <f t="shared" si="9"/>
        <v>0.005176598256380926</v>
      </c>
      <c r="Y24" s="93"/>
      <c r="Z24" s="97"/>
      <c r="AA24" s="93"/>
      <c r="AB24" s="97"/>
      <c r="AC24" s="93"/>
      <c r="AD24" s="97"/>
      <c r="AE24" s="93"/>
      <c r="AF24" s="98"/>
      <c r="AG24" s="93"/>
      <c r="AH24" s="98"/>
      <c r="AI24" s="93"/>
      <c r="AJ24" s="98"/>
      <c r="AK24" s="93"/>
      <c r="AL24" s="98"/>
      <c r="AM24" s="93"/>
      <c r="AN24" s="98"/>
      <c r="AO24" s="93"/>
      <c r="AP24" s="98"/>
      <c r="AQ24" s="93"/>
      <c r="AR24" s="98"/>
      <c r="AS24" s="93"/>
      <c r="AT24" s="98"/>
    </row>
    <row r="25" spans="1:46" s="92" customFormat="1" ht="12.75">
      <c r="A25" s="92" t="s">
        <v>309</v>
      </c>
      <c r="B25" s="92">
        <v>21</v>
      </c>
      <c r="C25" s="92" t="s">
        <v>364</v>
      </c>
      <c r="D25" s="96">
        <v>0</v>
      </c>
      <c r="E25" s="93"/>
      <c r="F25" s="97">
        <v>0.26729712612645373</v>
      </c>
      <c r="G25" s="97">
        <f t="shared" si="0"/>
        <v>0.26729712612645373</v>
      </c>
      <c r="H25" s="97">
        <f t="shared" si="1"/>
        <v>0</v>
      </c>
      <c r="I25" s="93"/>
      <c r="J25" s="97">
        <v>0.2405056887179872</v>
      </c>
      <c r="K25" s="97">
        <f t="shared" si="2"/>
        <v>0.2405056887179872</v>
      </c>
      <c r="L25" s="97">
        <f t="shared" si="3"/>
        <v>0</v>
      </c>
      <c r="M25" s="93"/>
      <c r="N25" s="97">
        <v>0.2243687791402973</v>
      </c>
      <c r="O25" s="97">
        <f t="shared" si="4"/>
        <v>0.2243687791402973</v>
      </c>
      <c r="P25" s="97">
        <f t="shared" si="5"/>
        <v>0</v>
      </c>
      <c r="Q25" s="93"/>
      <c r="R25" s="97">
        <v>0.21376282139709</v>
      </c>
      <c r="S25" s="97">
        <f t="shared" si="6"/>
        <v>0.21376282139709</v>
      </c>
      <c r="T25" s="97">
        <f t="shared" si="7"/>
        <v>0</v>
      </c>
      <c r="U25" s="93"/>
      <c r="V25" s="97">
        <v>0.234241071101237</v>
      </c>
      <c r="W25" s="97">
        <f t="shared" si="8"/>
        <v>0.234241071101237</v>
      </c>
      <c r="X25" s="97">
        <f t="shared" si="9"/>
        <v>0</v>
      </c>
      <c r="Y25" s="93"/>
      <c r="Z25" s="97"/>
      <c r="AA25" s="93"/>
      <c r="AB25" s="97"/>
      <c r="AC25" s="93"/>
      <c r="AD25" s="97"/>
      <c r="AE25" s="93"/>
      <c r="AF25" s="98"/>
      <c r="AG25" s="93"/>
      <c r="AH25" s="98"/>
      <c r="AI25" s="93"/>
      <c r="AJ25" s="98"/>
      <c r="AK25" s="93"/>
      <c r="AL25" s="98"/>
      <c r="AM25" s="93"/>
      <c r="AN25" s="98"/>
      <c r="AO25" s="93"/>
      <c r="AP25" s="98"/>
      <c r="AQ25" s="93"/>
      <c r="AR25" s="98"/>
      <c r="AS25" s="93"/>
      <c r="AT25" s="98"/>
    </row>
    <row r="26" spans="1:46" s="92" customFormat="1" ht="12.75">
      <c r="A26" s="92" t="s">
        <v>309</v>
      </c>
      <c r="B26" s="92">
        <v>22</v>
      </c>
      <c r="C26" s="92" t="s">
        <v>365</v>
      </c>
      <c r="D26" s="96">
        <v>0</v>
      </c>
      <c r="E26" s="93"/>
      <c r="F26" s="97">
        <v>0.29946151059810167</v>
      </c>
      <c r="G26" s="97">
        <f t="shared" si="0"/>
        <v>0.29946151059810167</v>
      </c>
      <c r="H26" s="97">
        <f t="shared" si="1"/>
        <v>0</v>
      </c>
      <c r="I26" s="93"/>
      <c r="J26" s="97">
        <v>0.26386415488844</v>
      </c>
      <c r="K26" s="97">
        <f t="shared" si="2"/>
        <v>0.26386415488844</v>
      </c>
      <c r="L26" s="97">
        <f t="shared" si="3"/>
        <v>0</v>
      </c>
      <c r="M26" s="93"/>
      <c r="N26" s="97">
        <v>0.24829542963212</v>
      </c>
      <c r="O26" s="97">
        <f t="shared" si="4"/>
        <v>0.24829542963212</v>
      </c>
      <c r="P26" s="97">
        <f t="shared" si="5"/>
        <v>0</v>
      </c>
      <c r="Q26" s="93"/>
      <c r="R26" s="97">
        <v>0.23879810678594</v>
      </c>
      <c r="S26" s="97">
        <f t="shared" si="6"/>
        <v>0.23879810678594</v>
      </c>
      <c r="T26" s="97">
        <f t="shared" si="7"/>
        <v>0</v>
      </c>
      <c r="U26" s="93"/>
      <c r="V26" s="97">
        <v>0.2545160809387289</v>
      </c>
      <c r="W26" s="97">
        <f t="shared" si="8"/>
        <v>0.2545160809387289</v>
      </c>
      <c r="X26" s="97">
        <f t="shared" si="9"/>
        <v>0</v>
      </c>
      <c r="Y26" s="93"/>
      <c r="Z26" s="97"/>
      <c r="AA26" s="93"/>
      <c r="AB26" s="97"/>
      <c r="AC26" s="93"/>
      <c r="AD26" s="97"/>
      <c r="AE26" s="93"/>
      <c r="AF26" s="98"/>
      <c r="AG26" s="93"/>
      <c r="AH26" s="98"/>
      <c r="AI26" s="93"/>
      <c r="AJ26" s="98"/>
      <c r="AK26" s="93"/>
      <c r="AL26" s="98"/>
      <c r="AM26" s="93"/>
      <c r="AN26" s="98"/>
      <c r="AO26" s="93"/>
      <c r="AP26" s="98"/>
      <c r="AQ26" s="93"/>
      <c r="AR26" s="98"/>
      <c r="AS26" s="93"/>
      <c r="AT26" s="98"/>
    </row>
    <row r="27" spans="1:46" s="92" customFormat="1" ht="12.75">
      <c r="A27" s="92" t="s">
        <v>309</v>
      </c>
      <c r="B27" s="92">
        <v>23</v>
      </c>
      <c r="C27" s="92" t="s">
        <v>366</v>
      </c>
      <c r="D27" s="96">
        <v>0.1</v>
      </c>
      <c r="E27" s="93"/>
      <c r="F27" s="97">
        <v>0.048246576707472</v>
      </c>
      <c r="G27" s="97">
        <f t="shared" si="0"/>
        <v>0.048246576707472</v>
      </c>
      <c r="H27" s="97">
        <f t="shared" si="1"/>
        <v>0.0048246576707472</v>
      </c>
      <c r="I27" s="93"/>
      <c r="J27" s="97">
        <v>0.05190770260100442</v>
      </c>
      <c r="K27" s="97">
        <f t="shared" si="2"/>
        <v>0.05190770260100442</v>
      </c>
      <c r="L27" s="97">
        <f t="shared" si="3"/>
        <v>0.005190770260100442</v>
      </c>
      <c r="M27" s="93"/>
      <c r="N27" s="97">
        <v>0.05417354828337158</v>
      </c>
      <c r="O27" s="97">
        <f t="shared" si="4"/>
        <v>0.05417354828337158</v>
      </c>
      <c r="P27" s="97">
        <f t="shared" si="5"/>
        <v>0.0054173548283371585</v>
      </c>
      <c r="Q27" s="93"/>
      <c r="R27" s="97">
        <v>0.050070570777697</v>
      </c>
      <c r="S27" s="97">
        <f t="shared" si="6"/>
        <v>0.050070570777697</v>
      </c>
      <c r="T27" s="97">
        <f t="shared" si="7"/>
        <v>0.0050070570777697</v>
      </c>
      <c r="U27" s="93"/>
      <c r="V27" s="97">
        <v>0.051765982563809265</v>
      </c>
      <c r="W27" s="97">
        <f t="shared" si="8"/>
        <v>0.051765982563809265</v>
      </c>
      <c r="X27" s="97">
        <f t="shared" si="9"/>
        <v>0.005176598256380927</v>
      </c>
      <c r="Y27" s="93"/>
      <c r="Z27" s="97"/>
      <c r="AA27" s="93"/>
      <c r="AB27" s="97"/>
      <c r="AC27" s="93"/>
      <c r="AD27" s="97"/>
      <c r="AE27" s="93"/>
      <c r="AF27" s="98"/>
      <c r="AG27" s="93"/>
      <c r="AH27" s="98"/>
      <c r="AI27" s="93"/>
      <c r="AJ27" s="98"/>
      <c r="AK27" s="93"/>
      <c r="AL27" s="98"/>
      <c r="AM27" s="93"/>
      <c r="AN27" s="98"/>
      <c r="AO27" s="93"/>
      <c r="AP27" s="98"/>
      <c r="AQ27" s="93"/>
      <c r="AR27" s="98"/>
      <c r="AS27" s="93"/>
      <c r="AT27" s="98"/>
    </row>
    <row r="28" spans="1:46" s="92" customFormat="1" ht="12.75">
      <c r="A28" s="92" t="s">
        <v>309</v>
      </c>
      <c r="B28" s="92">
        <v>24</v>
      </c>
      <c r="C28" s="92" t="s">
        <v>367</v>
      </c>
      <c r="D28" s="96">
        <v>0.1</v>
      </c>
      <c r="E28" s="93"/>
      <c r="F28" s="97">
        <v>0.05545583529594476</v>
      </c>
      <c r="G28" s="97">
        <f t="shared" si="0"/>
        <v>0.05545583529594476</v>
      </c>
      <c r="H28" s="97">
        <f t="shared" si="1"/>
        <v>0.005545583529594476</v>
      </c>
      <c r="I28" s="93"/>
      <c r="J28" s="97">
        <v>0.05190770260100442</v>
      </c>
      <c r="K28" s="97">
        <f t="shared" si="2"/>
        <v>0.05190770260100442</v>
      </c>
      <c r="L28" s="97">
        <f t="shared" si="3"/>
        <v>0.005190770260100442</v>
      </c>
      <c r="M28" s="93"/>
      <c r="N28" s="97">
        <v>0.05417354828337158</v>
      </c>
      <c r="O28" s="97">
        <f t="shared" si="4"/>
        <v>0.05417354828337158</v>
      </c>
      <c r="P28" s="97">
        <f t="shared" si="5"/>
        <v>0.0054173548283371585</v>
      </c>
      <c r="Q28" s="93"/>
      <c r="R28" s="97">
        <v>0.050070570777697</v>
      </c>
      <c r="S28" s="97">
        <f t="shared" si="6"/>
        <v>0.050070570777697</v>
      </c>
      <c r="T28" s="97">
        <f t="shared" si="7"/>
        <v>0.0050070570777697</v>
      </c>
      <c r="U28" s="93"/>
      <c r="V28" s="97">
        <v>0.051765982563809265</v>
      </c>
      <c r="W28" s="97">
        <f t="shared" si="8"/>
        <v>0.051765982563809265</v>
      </c>
      <c r="X28" s="97">
        <f t="shared" si="9"/>
        <v>0.005176598256380927</v>
      </c>
      <c r="Y28" s="93"/>
      <c r="Z28" s="97"/>
      <c r="AA28" s="93"/>
      <c r="AB28" s="97"/>
      <c r="AC28" s="93"/>
      <c r="AD28" s="97"/>
      <c r="AE28" s="93"/>
      <c r="AF28" s="98"/>
      <c r="AG28" s="93"/>
      <c r="AH28" s="98"/>
      <c r="AI28" s="93"/>
      <c r="AJ28" s="98"/>
      <c r="AK28" s="93"/>
      <c r="AL28" s="98"/>
      <c r="AM28" s="93"/>
      <c r="AN28" s="98"/>
      <c r="AO28" s="93"/>
      <c r="AP28" s="98"/>
      <c r="AQ28" s="93"/>
      <c r="AR28" s="98"/>
      <c r="AS28" s="93"/>
      <c r="AT28" s="98"/>
    </row>
    <row r="29" spans="1:46" s="92" customFormat="1" ht="12.75">
      <c r="A29" s="92" t="s">
        <v>309</v>
      </c>
      <c r="B29" s="92">
        <v>25</v>
      </c>
      <c r="C29" s="92" t="s">
        <v>368</v>
      </c>
      <c r="D29" s="96">
        <v>0.1</v>
      </c>
      <c r="E29" s="93"/>
      <c r="F29" s="97">
        <v>0.0094274920003106</v>
      </c>
      <c r="G29" s="97">
        <f t="shared" si="0"/>
        <v>0.0094274920003106</v>
      </c>
      <c r="H29" s="97">
        <f t="shared" si="1"/>
        <v>0.00094274920003106</v>
      </c>
      <c r="I29" s="93"/>
      <c r="J29" s="97">
        <v>0.010814104708542587</v>
      </c>
      <c r="K29" s="97">
        <f t="shared" si="2"/>
        <v>0.010814104708542587</v>
      </c>
      <c r="L29" s="97">
        <f t="shared" si="3"/>
        <v>0.0010814104708542587</v>
      </c>
      <c r="M29" s="93"/>
      <c r="N29" s="97">
        <v>0.010383263420979552</v>
      </c>
      <c r="O29" s="97">
        <f t="shared" si="4"/>
        <v>0.010383263420979552</v>
      </c>
      <c r="P29" s="97">
        <f t="shared" si="5"/>
        <v>0.0010383263420979552</v>
      </c>
      <c r="Q29" s="93"/>
      <c r="R29" s="97">
        <v>0.010784430629042427</v>
      </c>
      <c r="S29" s="97">
        <f t="shared" si="6"/>
        <v>0.010784430629042427</v>
      </c>
      <c r="T29" s="97">
        <f t="shared" si="7"/>
        <v>0.0010784430629042427</v>
      </c>
      <c r="U29" s="93"/>
      <c r="V29" s="97">
        <v>0.0077648973845714</v>
      </c>
      <c r="W29" s="97">
        <f t="shared" si="8"/>
        <v>0.0077648973845714</v>
      </c>
      <c r="X29" s="97">
        <f t="shared" si="9"/>
        <v>0.00077648973845714</v>
      </c>
      <c r="Y29" s="93"/>
      <c r="Z29" s="97"/>
      <c r="AA29" s="93"/>
      <c r="AB29" s="97"/>
      <c r="AC29" s="93"/>
      <c r="AD29" s="97"/>
      <c r="AE29" s="93"/>
      <c r="AF29" s="98"/>
      <c r="AG29" s="93"/>
      <c r="AH29" s="98"/>
      <c r="AI29" s="93"/>
      <c r="AJ29" s="98"/>
      <c r="AK29" s="93"/>
      <c r="AL29" s="98"/>
      <c r="AM29" s="93"/>
      <c r="AN29" s="98"/>
      <c r="AO29" s="93"/>
      <c r="AP29" s="98"/>
      <c r="AQ29" s="93"/>
      <c r="AR29" s="98"/>
      <c r="AS29" s="93"/>
      <c r="AT29" s="98"/>
    </row>
    <row r="30" spans="1:46" s="92" customFormat="1" ht="12.75">
      <c r="A30" s="92" t="s">
        <v>309</v>
      </c>
      <c r="B30" s="92">
        <v>26</v>
      </c>
      <c r="C30" s="92" t="s">
        <v>369</v>
      </c>
      <c r="D30" s="96">
        <v>0.1</v>
      </c>
      <c r="E30" s="93"/>
      <c r="F30" s="97">
        <v>0.05545583529594476</v>
      </c>
      <c r="G30" s="97">
        <f t="shared" si="0"/>
        <v>0.05545583529594476</v>
      </c>
      <c r="H30" s="97">
        <f t="shared" si="1"/>
        <v>0.005545583529594476</v>
      </c>
      <c r="I30" s="93"/>
      <c r="J30" s="97">
        <v>0.05190770260100442</v>
      </c>
      <c r="K30" s="97">
        <f t="shared" si="2"/>
        <v>0.05190770260100442</v>
      </c>
      <c r="L30" s="97">
        <f t="shared" si="3"/>
        <v>0.005190770260100442</v>
      </c>
      <c r="M30" s="93"/>
      <c r="N30" s="97">
        <v>0.058688010640319206</v>
      </c>
      <c r="O30" s="97">
        <f t="shared" si="4"/>
        <v>0.058688010640319206</v>
      </c>
      <c r="P30" s="97">
        <f t="shared" si="5"/>
        <v>0.005868801064031921</v>
      </c>
      <c r="Q30" s="93"/>
      <c r="R30" s="97">
        <v>0.057773735512727284</v>
      </c>
      <c r="S30" s="97">
        <f t="shared" si="6"/>
        <v>0.057773735512727284</v>
      </c>
      <c r="T30" s="97">
        <f t="shared" si="7"/>
        <v>0.0057773735512727286</v>
      </c>
      <c r="U30" s="93"/>
      <c r="V30" s="97">
        <v>0.03623618779466649</v>
      </c>
      <c r="W30" s="97">
        <f t="shared" si="8"/>
        <v>0.03623618779466649</v>
      </c>
      <c r="X30" s="97">
        <f t="shared" si="9"/>
        <v>0.003623618779466649</v>
      </c>
      <c r="Y30" s="93"/>
      <c r="Z30" s="97"/>
      <c r="AA30" s="93"/>
      <c r="AB30" s="97"/>
      <c r="AC30" s="93"/>
      <c r="AD30" s="97"/>
      <c r="AE30" s="93"/>
      <c r="AF30" s="98"/>
      <c r="AG30" s="93"/>
      <c r="AH30" s="98"/>
      <c r="AI30" s="93"/>
      <c r="AJ30" s="98"/>
      <c r="AK30" s="93"/>
      <c r="AL30" s="98"/>
      <c r="AM30" s="93"/>
      <c r="AN30" s="98"/>
      <c r="AO30" s="93"/>
      <c r="AP30" s="98"/>
      <c r="AQ30" s="93"/>
      <c r="AR30" s="98"/>
      <c r="AS30" s="93"/>
      <c r="AT30" s="98"/>
    </row>
    <row r="31" spans="1:46" s="92" customFormat="1" ht="12.75">
      <c r="A31" s="92" t="s">
        <v>309</v>
      </c>
      <c r="B31" s="92">
        <v>27</v>
      </c>
      <c r="C31" s="92" t="s">
        <v>370</v>
      </c>
      <c r="D31" s="96">
        <v>0</v>
      </c>
      <c r="E31" s="93"/>
      <c r="F31" s="97">
        <v>0.30833444424545275</v>
      </c>
      <c r="G31" s="97">
        <f t="shared" si="0"/>
        <v>0.30833444424545275</v>
      </c>
      <c r="H31" s="97">
        <f t="shared" si="1"/>
        <v>0</v>
      </c>
      <c r="I31" s="93"/>
      <c r="J31" s="97">
        <v>0.3957962323326588</v>
      </c>
      <c r="K31" s="97">
        <f t="shared" si="2"/>
        <v>0.3957962323326588</v>
      </c>
      <c r="L31" s="97">
        <f t="shared" si="3"/>
        <v>0</v>
      </c>
      <c r="M31" s="93"/>
      <c r="N31" s="97">
        <v>0.40946173577515</v>
      </c>
      <c r="O31" s="97">
        <f t="shared" si="4"/>
        <v>0.40946173577515</v>
      </c>
      <c r="P31" s="97">
        <f t="shared" si="5"/>
        <v>0</v>
      </c>
      <c r="Q31" s="93"/>
      <c r="R31" s="97">
        <v>0.3705222237549574</v>
      </c>
      <c r="S31" s="97">
        <f t="shared" si="6"/>
        <v>0.3705222237549574</v>
      </c>
      <c r="T31" s="97">
        <f t="shared" si="7"/>
        <v>0</v>
      </c>
      <c r="U31" s="93"/>
      <c r="V31" s="97">
        <v>0.456403412937585</v>
      </c>
      <c r="W31" s="97">
        <f t="shared" si="8"/>
        <v>0.456403412937585</v>
      </c>
      <c r="X31" s="97">
        <f t="shared" si="9"/>
        <v>0</v>
      </c>
      <c r="Y31" s="93"/>
      <c r="Z31" s="97"/>
      <c r="AA31" s="93"/>
      <c r="AB31" s="97"/>
      <c r="AC31" s="93"/>
      <c r="AD31" s="97"/>
      <c r="AE31" s="93"/>
      <c r="AF31" s="98"/>
      <c r="AG31" s="93"/>
      <c r="AH31" s="98"/>
      <c r="AI31" s="93"/>
      <c r="AJ31" s="98"/>
      <c r="AK31" s="93"/>
      <c r="AL31" s="98"/>
      <c r="AM31" s="93"/>
      <c r="AN31" s="98"/>
      <c r="AO31" s="93"/>
      <c r="AP31" s="98"/>
      <c r="AQ31" s="93"/>
      <c r="AR31" s="98"/>
      <c r="AS31" s="93"/>
      <c r="AT31" s="98"/>
    </row>
    <row r="32" spans="1:46" s="92" customFormat="1" ht="12.75">
      <c r="A32" s="92" t="s">
        <v>309</v>
      </c>
      <c r="B32" s="92">
        <v>28</v>
      </c>
      <c r="C32" s="92" t="s">
        <v>371</v>
      </c>
      <c r="D32" s="96">
        <v>0</v>
      </c>
      <c r="E32" s="93"/>
      <c r="F32" s="97">
        <v>0.47692018354512483</v>
      </c>
      <c r="G32" s="97">
        <f t="shared" si="0"/>
        <v>0.47692018354512483</v>
      </c>
      <c r="H32" s="97">
        <f t="shared" si="1"/>
        <v>0</v>
      </c>
      <c r="I32" s="93"/>
      <c r="J32" s="97">
        <v>0.5623334448442147</v>
      </c>
      <c r="K32" s="97">
        <f t="shared" si="2"/>
        <v>0.5623334448442147</v>
      </c>
      <c r="L32" s="97">
        <f t="shared" si="3"/>
        <v>0</v>
      </c>
      <c r="M32" s="93"/>
      <c r="N32" s="97">
        <v>0.5868801064031922</v>
      </c>
      <c r="O32" s="97">
        <f t="shared" si="4"/>
        <v>0.5868801064031922</v>
      </c>
      <c r="P32" s="97">
        <f t="shared" si="5"/>
        <v>0</v>
      </c>
      <c r="Q32" s="93"/>
      <c r="R32" s="97">
        <v>0.5392215314521211</v>
      </c>
      <c r="S32" s="97">
        <f t="shared" si="6"/>
        <v>0.5392215314521211</v>
      </c>
      <c r="T32" s="97">
        <f t="shared" si="7"/>
        <v>0</v>
      </c>
      <c r="U32" s="93"/>
      <c r="V32" s="97">
        <v>0.6039364632444414</v>
      </c>
      <c r="W32" s="97">
        <f t="shared" si="8"/>
        <v>0.6039364632444414</v>
      </c>
      <c r="X32" s="97">
        <f t="shared" si="9"/>
        <v>0</v>
      </c>
      <c r="Y32" s="93"/>
      <c r="Z32" s="97"/>
      <c r="AA32" s="93"/>
      <c r="AB32" s="97"/>
      <c r="AC32" s="93"/>
      <c r="AD32" s="97"/>
      <c r="AE32" s="93"/>
      <c r="AF32" s="98"/>
      <c r="AG32" s="93"/>
      <c r="AH32" s="98"/>
      <c r="AI32" s="93"/>
      <c r="AJ32" s="98"/>
      <c r="AK32" s="93"/>
      <c r="AL32" s="98"/>
      <c r="AM32" s="93"/>
      <c r="AN32" s="98"/>
      <c r="AO32" s="93"/>
      <c r="AP32" s="98"/>
      <c r="AQ32" s="93"/>
      <c r="AR32" s="98"/>
      <c r="AS32" s="93"/>
      <c r="AT32" s="98"/>
    </row>
    <row r="33" spans="1:46" s="92" customFormat="1" ht="12.75">
      <c r="A33" s="92" t="s">
        <v>309</v>
      </c>
      <c r="B33" s="92">
        <v>29</v>
      </c>
      <c r="C33" s="92" t="s">
        <v>372</v>
      </c>
      <c r="D33" s="96">
        <v>0.01</v>
      </c>
      <c r="E33" s="93"/>
      <c r="F33" s="97">
        <v>0.5545583529594474</v>
      </c>
      <c r="G33" s="97">
        <f t="shared" si="0"/>
        <v>0.5545583529594474</v>
      </c>
      <c r="H33" s="97">
        <f t="shared" si="1"/>
        <v>0.005545583529594475</v>
      </c>
      <c r="I33" s="93"/>
      <c r="J33" s="97">
        <v>0.6921027013467256</v>
      </c>
      <c r="K33" s="97">
        <f t="shared" si="2"/>
        <v>0.6921027013467256</v>
      </c>
      <c r="L33" s="97">
        <f t="shared" si="3"/>
        <v>0.006921027013467256</v>
      </c>
      <c r="M33" s="93"/>
      <c r="N33" s="97">
        <v>0.5417354828337159</v>
      </c>
      <c r="O33" s="97">
        <f t="shared" si="4"/>
        <v>0.5417354828337159</v>
      </c>
      <c r="P33" s="97">
        <f t="shared" si="5"/>
        <v>0.0054173548283371585</v>
      </c>
      <c r="Q33" s="93"/>
      <c r="R33" s="97">
        <v>0.4236740604266668</v>
      </c>
      <c r="S33" s="97">
        <f t="shared" si="6"/>
        <v>0.4236740604266668</v>
      </c>
      <c r="T33" s="97">
        <f t="shared" si="7"/>
        <v>0.004236740604266668</v>
      </c>
      <c r="U33" s="93"/>
      <c r="V33" s="97">
        <v>0.36667570982698233</v>
      </c>
      <c r="W33" s="97">
        <f t="shared" si="8"/>
        <v>0.36667570982698233</v>
      </c>
      <c r="X33" s="97">
        <f t="shared" si="9"/>
        <v>0.0036667570982698234</v>
      </c>
      <c r="Y33" s="93"/>
      <c r="Z33" s="97"/>
      <c r="AA33" s="93"/>
      <c r="AB33" s="97"/>
      <c r="AC33" s="93"/>
      <c r="AD33" s="97"/>
      <c r="AE33" s="93"/>
      <c r="AF33" s="98"/>
      <c r="AG33" s="93"/>
      <c r="AH33" s="98"/>
      <c r="AI33" s="93"/>
      <c r="AJ33" s="98"/>
      <c r="AK33" s="93"/>
      <c r="AL33" s="98"/>
      <c r="AM33" s="93"/>
      <c r="AN33" s="98"/>
      <c r="AO33" s="93"/>
      <c r="AP33" s="98"/>
      <c r="AQ33" s="93"/>
      <c r="AR33" s="98"/>
      <c r="AS33" s="93"/>
      <c r="AT33" s="98"/>
    </row>
    <row r="34" spans="1:46" s="92" customFormat="1" ht="12.75">
      <c r="A34" s="92" t="s">
        <v>309</v>
      </c>
      <c r="B34" s="92">
        <v>30</v>
      </c>
      <c r="C34" s="92" t="s">
        <v>373</v>
      </c>
      <c r="D34" s="96">
        <v>0.01</v>
      </c>
      <c r="E34" s="93"/>
      <c r="F34" s="97">
        <v>0.07209258588472818</v>
      </c>
      <c r="G34" s="97">
        <f t="shared" si="0"/>
        <v>0.07209258588472818</v>
      </c>
      <c r="H34" s="97">
        <f t="shared" si="1"/>
        <v>0.0007209258588472818</v>
      </c>
      <c r="I34" s="93"/>
      <c r="J34" s="97">
        <v>0.07353591201808961</v>
      </c>
      <c r="K34" s="97">
        <f t="shared" si="2"/>
        <v>0.07353591201808961</v>
      </c>
      <c r="L34" s="97">
        <f t="shared" si="3"/>
        <v>0.0007353591201808962</v>
      </c>
      <c r="M34" s="93"/>
      <c r="N34" s="97">
        <v>0.06320247299726686</v>
      </c>
      <c r="O34" s="97">
        <f t="shared" si="4"/>
        <v>0.06320247299726686</v>
      </c>
      <c r="P34" s="97">
        <f t="shared" si="5"/>
        <v>0.0006320247299726686</v>
      </c>
      <c r="Q34" s="93"/>
      <c r="R34" s="97">
        <v>0.04236740604266668</v>
      </c>
      <c r="S34" s="97">
        <f t="shared" si="6"/>
        <v>0.04236740604266668</v>
      </c>
      <c r="T34" s="97">
        <f t="shared" si="7"/>
        <v>0.0004236740604266668</v>
      </c>
      <c r="U34" s="93"/>
      <c r="V34" s="97">
        <v>0.026745757657968123</v>
      </c>
      <c r="W34" s="97">
        <f t="shared" si="8"/>
        <v>0.026745757657968123</v>
      </c>
      <c r="X34" s="97">
        <f t="shared" si="9"/>
        <v>0.0002674575765796812</v>
      </c>
      <c r="Y34" s="93"/>
      <c r="Z34" s="97"/>
      <c r="AA34" s="93"/>
      <c r="AB34" s="97"/>
      <c r="AC34" s="93"/>
      <c r="AD34" s="97"/>
      <c r="AE34" s="93"/>
      <c r="AF34" s="98"/>
      <c r="AG34" s="93"/>
      <c r="AH34" s="98"/>
      <c r="AI34" s="93"/>
      <c r="AJ34" s="98"/>
      <c r="AK34" s="93"/>
      <c r="AL34" s="98"/>
      <c r="AM34" s="93"/>
      <c r="AN34" s="98"/>
      <c r="AO34" s="93"/>
      <c r="AP34" s="98"/>
      <c r="AQ34" s="93"/>
      <c r="AR34" s="98"/>
      <c r="AS34" s="93"/>
      <c r="AT34" s="98"/>
    </row>
    <row r="35" spans="1:46" s="92" customFormat="1" ht="12.75">
      <c r="A35" s="92" t="s">
        <v>309</v>
      </c>
      <c r="B35" s="92">
        <v>31</v>
      </c>
      <c r="C35" s="92" t="s">
        <v>374</v>
      </c>
      <c r="D35" s="96">
        <v>0</v>
      </c>
      <c r="E35" s="93"/>
      <c r="F35" s="97">
        <v>0.37155409648283</v>
      </c>
      <c r="G35" s="97">
        <f t="shared" si="0"/>
        <v>0.37155409648283</v>
      </c>
      <c r="H35" s="97">
        <f t="shared" si="1"/>
        <v>0</v>
      </c>
      <c r="I35" s="93"/>
      <c r="J35" s="97">
        <v>0.44554111399195473</v>
      </c>
      <c r="K35" s="97">
        <f t="shared" si="2"/>
        <v>0.44554111399195473</v>
      </c>
      <c r="L35" s="97">
        <f t="shared" si="3"/>
        <v>0</v>
      </c>
      <c r="M35" s="93"/>
      <c r="N35" s="97">
        <v>0.3882437626974963</v>
      </c>
      <c r="O35" s="97">
        <f t="shared" si="4"/>
        <v>0.3882437626974963</v>
      </c>
      <c r="P35" s="97">
        <f t="shared" si="5"/>
        <v>0</v>
      </c>
      <c r="Q35" s="93"/>
      <c r="R35" s="97">
        <v>0.304275007033697</v>
      </c>
      <c r="S35" s="97">
        <f t="shared" si="6"/>
        <v>0.304275007033697</v>
      </c>
      <c r="T35" s="97">
        <f t="shared" si="7"/>
        <v>0</v>
      </c>
      <c r="U35" s="93"/>
      <c r="V35" s="97">
        <v>0.25365331456266543</v>
      </c>
      <c r="W35" s="97">
        <f t="shared" si="8"/>
        <v>0.25365331456266543</v>
      </c>
      <c r="X35" s="97">
        <f t="shared" si="9"/>
        <v>0</v>
      </c>
      <c r="Y35" s="93"/>
      <c r="Z35" s="97"/>
      <c r="AA35" s="93"/>
      <c r="AB35" s="97"/>
      <c r="AC35" s="93"/>
      <c r="AD35" s="97"/>
      <c r="AE35" s="93"/>
      <c r="AF35" s="98"/>
      <c r="AG35" s="93"/>
      <c r="AH35" s="98"/>
      <c r="AI35" s="93"/>
      <c r="AJ35" s="98"/>
      <c r="AK35" s="93"/>
      <c r="AL35" s="98"/>
      <c r="AM35" s="93"/>
      <c r="AN35" s="98"/>
      <c r="AO35" s="93"/>
      <c r="AP35" s="98"/>
      <c r="AQ35" s="93"/>
      <c r="AR35" s="98"/>
      <c r="AS35" s="93"/>
      <c r="AT35" s="98"/>
    </row>
    <row r="36" spans="1:46" s="92" customFormat="1" ht="12.75">
      <c r="A36" s="92" t="s">
        <v>309</v>
      </c>
      <c r="B36" s="92">
        <v>32</v>
      </c>
      <c r="C36" s="92" t="s">
        <v>375</v>
      </c>
      <c r="D36" s="96">
        <v>0</v>
      </c>
      <c r="E36" s="93"/>
      <c r="F36" s="97">
        <v>0.9982050353270056</v>
      </c>
      <c r="G36" s="97">
        <f t="shared" si="0"/>
        <v>0.9982050353270056</v>
      </c>
      <c r="H36" s="97">
        <f t="shared" si="1"/>
        <v>0</v>
      </c>
      <c r="I36" s="93"/>
      <c r="J36" s="97">
        <v>1.21117972735677</v>
      </c>
      <c r="K36" s="97">
        <f t="shared" si="2"/>
        <v>1.21117972735677</v>
      </c>
      <c r="L36" s="97">
        <f t="shared" si="3"/>
        <v>0</v>
      </c>
      <c r="M36" s="93"/>
      <c r="N36" s="97">
        <v>0.99318171852848</v>
      </c>
      <c r="O36" s="97">
        <f t="shared" si="4"/>
        <v>0.99318171852848</v>
      </c>
      <c r="P36" s="97">
        <f t="shared" si="5"/>
        <v>0</v>
      </c>
      <c r="Q36" s="93"/>
      <c r="R36" s="97">
        <v>0.77031647350303</v>
      </c>
      <c r="S36" s="97">
        <f t="shared" si="6"/>
        <v>0.77031647350303</v>
      </c>
      <c r="T36" s="97">
        <f t="shared" si="7"/>
        <v>0</v>
      </c>
      <c r="U36" s="93"/>
      <c r="V36" s="97">
        <v>0.6470747820476159</v>
      </c>
      <c r="W36" s="97">
        <f t="shared" si="8"/>
        <v>0.6470747820476159</v>
      </c>
      <c r="X36" s="97">
        <f t="shared" si="9"/>
        <v>0</v>
      </c>
      <c r="Y36" s="93"/>
      <c r="Z36" s="97"/>
      <c r="AA36" s="93"/>
      <c r="AB36" s="97"/>
      <c r="AC36" s="93"/>
      <c r="AD36" s="97"/>
      <c r="AE36" s="93"/>
      <c r="AF36" s="98"/>
      <c r="AG36" s="93"/>
      <c r="AH36" s="98"/>
      <c r="AI36" s="93"/>
      <c r="AJ36" s="98"/>
      <c r="AK36" s="93"/>
      <c r="AL36" s="98"/>
      <c r="AM36" s="93"/>
      <c r="AN36" s="98"/>
      <c r="AO36" s="93"/>
      <c r="AP36" s="98"/>
      <c r="AQ36" s="93"/>
      <c r="AR36" s="98"/>
      <c r="AS36" s="93"/>
      <c r="AT36" s="98"/>
    </row>
    <row r="37" spans="1:46" s="92" customFormat="1" ht="12.75">
      <c r="A37" s="92" t="s">
        <v>309</v>
      </c>
      <c r="B37" s="92">
        <v>33</v>
      </c>
      <c r="C37" s="92" t="s">
        <v>376</v>
      </c>
      <c r="D37" s="96">
        <v>0.001</v>
      </c>
      <c r="E37" s="93"/>
      <c r="F37" s="97">
        <v>1.6082192235824</v>
      </c>
      <c r="G37" s="97">
        <f t="shared" si="0"/>
        <v>1.6082192235824</v>
      </c>
      <c r="H37" s="97">
        <f t="shared" si="1"/>
        <v>0.0016082192235824001</v>
      </c>
      <c r="I37" s="93"/>
      <c r="J37" s="97">
        <v>1.730256753366814</v>
      </c>
      <c r="K37" s="97">
        <f t="shared" si="2"/>
        <v>1.730256753366814</v>
      </c>
      <c r="L37" s="97">
        <f t="shared" si="3"/>
        <v>0.0017302567533668141</v>
      </c>
      <c r="M37" s="93"/>
      <c r="N37" s="97">
        <v>0.9028924713895263</v>
      </c>
      <c r="O37" s="97">
        <f t="shared" si="4"/>
        <v>0.9028924713895263</v>
      </c>
      <c r="P37" s="97">
        <f t="shared" si="5"/>
        <v>0.0009028924713895263</v>
      </c>
      <c r="Q37" s="93"/>
      <c r="R37" s="97">
        <v>0.50070570777697</v>
      </c>
      <c r="S37" s="97">
        <f t="shared" si="6"/>
        <v>0.50070570777697</v>
      </c>
      <c r="T37" s="97">
        <f t="shared" si="7"/>
        <v>0.00050070570777697</v>
      </c>
      <c r="U37" s="93"/>
      <c r="V37" s="97">
        <v>0.37961720546793465</v>
      </c>
      <c r="W37" s="97">
        <f t="shared" si="8"/>
        <v>0.37961720546793465</v>
      </c>
      <c r="X37" s="97">
        <f t="shared" si="9"/>
        <v>0.00037961720546793467</v>
      </c>
      <c r="Y37" s="93"/>
      <c r="Z37" s="97"/>
      <c r="AA37" s="93"/>
      <c r="AB37" s="97"/>
      <c r="AC37" s="93"/>
      <c r="AD37" s="97"/>
      <c r="AE37" s="93"/>
      <c r="AF37" s="98"/>
      <c r="AG37" s="93"/>
      <c r="AH37" s="98"/>
      <c r="AI37" s="93"/>
      <c r="AJ37" s="98"/>
      <c r="AK37" s="93"/>
      <c r="AL37" s="98"/>
      <c r="AM37" s="93"/>
      <c r="AN37" s="98"/>
      <c r="AO37" s="93"/>
      <c r="AP37" s="98"/>
      <c r="AQ37" s="93"/>
      <c r="AR37" s="98"/>
      <c r="AS37" s="93"/>
      <c r="AT37" s="98"/>
    </row>
    <row r="38" spans="1:46" s="92" customFormat="1" ht="12.75">
      <c r="A38" s="92" t="s">
        <v>309</v>
      </c>
      <c r="B38" s="92">
        <v>34</v>
      </c>
      <c r="C38" s="92" t="s">
        <v>377</v>
      </c>
      <c r="D38" s="96"/>
      <c r="E38" s="93"/>
      <c r="F38" s="97">
        <v>4.463085624617634</v>
      </c>
      <c r="G38" s="97">
        <f>SUM(G37,G36,G32,G26,G22,G19,G18,G15,G10,G7)</f>
        <v>4.463085624617635</v>
      </c>
      <c r="H38" s="97"/>
      <c r="I38" s="93"/>
      <c r="J38" s="97">
        <v>4.77896915279914</v>
      </c>
      <c r="K38" s="97">
        <f>SUM(K37,K36,K32,K26,K22,K19,K18,K15,K10,K7)</f>
        <v>4.778969152799141</v>
      </c>
      <c r="L38" s="97"/>
      <c r="M38" s="93"/>
      <c r="N38" s="97">
        <v>3.3867496601821134</v>
      </c>
      <c r="O38" s="97">
        <f>SUM(O37,O36,O32,O26,O22,O19,O18,O15,O10,O7)</f>
        <v>3.3867496601821143</v>
      </c>
      <c r="P38" s="97"/>
      <c r="Q38" s="93"/>
      <c r="R38" s="97">
        <v>2.4727158799447277</v>
      </c>
      <c r="S38" s="97">
        <f>SUM(S37,S36,S32,S26,S22,S19,S18,S15,S10,S7)</f>
        <v>2.4727158799447277</v>
      </c>
      <c r="T38" s="97"/>
      <c r="U38" s="93"/>
      <c r="V38" s="97">
        <v>2.37476445011475</v>
      </c>
      <c r="W38" s="97">
        <f>SUM(W37,W36,W32,W26,W22,W19,W18,W15,W10,W7)</f>
        <v>2.3747644501147502</v>
      </c>
      <c r="X38" s="97"/>
      <c r="Y38" s="93"/>
      <c r="Z38" s="97"/>
      <c r="AA38" s="93"/>
      <c r="AB38" s="97"/>
      <c r="AC38" s="93"/>
      <c r="AD38" s="97"/>
      <c r="AE38" s="93"/>
      <c r="AF38" s="98"/>
      <c r="AG38" s="93"/>
      <c r="AH38" s="98"/>
      <c r="AI38" s="93"/>
      <c r="AJ38" s="98"/>
      <c r="AK38" s="93"/>
      <c r="AL38" s="98"/>
      <c r="AM38" s="93"/>
      <c r="AN38" s="98"/>
      <c r="AO38" s="93"/>
      <c r="AP38" s="98"/>
      <c r="AQ38" s="93"/>
      <c r="AR38" s="98"/>
      <c r="AS38" s="93"/>
      <c r="AT38" s="98"/>
    </row>
    <row r="39" spans="1:46" s="92" customFormat="1" ht="12.75">
      <c r="A39" s="92" t="s">
        <v>309</v>
      </c>
      <c r="B39" s="92">
        <v>35</v>
      </c>
      <c r="C39" s="92" t="s">
        <v>27</v>
      </c>
      <c r="D39" s="96"/>
      <c r="E39" s="94">
        <f>(F39-H39)*2/F39*100</f>
        <v>-7.50823190273103E-14</v>
      </c>
      <c r="F39" s="97">
        <v>0.03696685980827677</v>
      </c>
      <c r="G39" s="97"/>
      <c r="H39" s="97">
        <f>SUM(H5:H37)</f>
        <v>0.036966859808276784</v>
      </c>
      <c r="I39" s="94">
        <f>(J39-L39)*2/J39*100</f>
        <v>0</v>
      </c>
      <c r="J39" s="97">
        <v>0.03564761476123979</v>
      </c>
      <c r="K39" s="97"/>
      <c r="L39" s="97">
        <f>SUM(L5:L37)</f>
        <v>0.03564761476123979</v>
      </c>
      <c r="M39" s="94">
        <f>(N39-P39)*2/N39*100</f>
        <v>0</v>
      </c>
      <c r="N39" s="97">
        <v>0.03466655643900087</v>
      </c>
      <c r="O39" s="97"/>
      <c r="P39" s="97">
        <f>SUM(P5:P37)</f>
        <v>0.03466655643900087</v>
      </c>
      <c r="Q39" s="94">
        <f>(R39-T39)*2/R39*100</f>
        <v>4.367971030641585E-14</v>
      </c>
      <c r="R39" s="97">
        <v>0.0317717029496325</v>
      </c>
      <c r="S39" s="97"/>
      <c r="T39" s="97">
        <f>SUM(T5:T37)</f>
        <v>0.031771702949632497</v>
      </c>
      <c r="U39" s="94">
        <f>(V39-X39)*2/V39*100</f>
        <v>2.6464661029745864E-14</v>
      </c>
      <c r="V39" s="97">
        <v>0.0262194701685694</v>
      </c>
      <c r="W39" s="97"/>
      <c r="X39" s="97">
        <f>SUM(X5:X37)</f>
        <v>0.026219470168569396</v>
      </c>
      <c r="Y39" s="93"/>
      <c r="Z39" s="97"/>
      <c r="AA39" s="93"/>
      <c r="AB39" s="97"/>
      <c r="AC39" s="93"/>
      <c r="AD39" s="97"/>
      <c r="AE39" s="93"/>
      <c r="AF39" s="98"/>
      <c r="AG39" s="93"/>
      <c r="AH39" s="98"/>
      <c r="AI39" s="93"/>
      <c r="AJ39" s="98"/>
      <c r="AK39" s="93"/>
      <c r="AL39" s="98"/>
      <c r="AM39" s="93"/>
      <c r="AN39" s="98"/>
      <c r="AO39" s="93"/>
      <c r="AP39" s="98"/>
      <c r="AQ39" s="93"/>
      <c r="AR39" s="98"/>
      <c r="AS39" s="93"/>
      <c r="AT39" s="98"/>
    </row>
  </sheetData>
  <printOptions headings="1" horizontalCentered="1"/>
  <pageMargins left="0.25" right="0.25" top="0.5" bottom="0.5" header="0.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N39"/>
  <sheetViews>
    <sheetView workbookViewId="0" topLeftCell="C1">
      <selection activeCell="B2" sqref="B2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12.7109375" style="0" customWidth="1"/>
    <col min="4" max="4" width="7.00390625" style="95" customWidth="1"/>
    <col min="5" max="5" width="3.28125" style="0" customWidth="1"/>
    <col min="6" max="6" width="7.140625" style="0" bestFit="1" customWidth="1"/>
    <col min="7" max="8" width="6.7109375" style="69" bestFit="1" customWidth="1"/>
    <col min="9" max="9" width="4.57421875" style="0" customWidth="1"/>
    <col min="10" max="10" width="7.140625" style="0" bestFit="1" customWidth="1"/>
    <col min="11" max="11" width="6.7109375" style="69" bestFit="1" customWidth="1"/>
    <col min="12" max="12" width="8.28125" style="69" customWidth="1"/>
    <col min="13" max="13" width="4.7109375" style="0" customWidth="1"/>
    <col min="15" max="15" width="7.7109375" style="69" customWidth="1"/>
    <col min="16" max="16" width="8.28125" style="69" customWidth="1"/>
    <col min="17" max="17" width="3.421875" style="0" customWidth="1"/>
    <col min="18" max="18" width="7.140625" style="0" bestFit="1" customWidth="1"/>
    <col min="19" max="20" width="6.7109375" style="69" bestFit="1" customWidth="1"/>
    <col min="21" max="21" width="5.57421875" style="0" customWidth="1"/>
    <col min="22" max="22" width="7.140625" style="0" bestFit="1" customWidth="1"/>
    <col min="23" max="23" width="7.7109375" style="69" customWidth="1"/>
    <col min="24" max="24" width="6.7109375" style="69" bestFit="1" customWidth="1"/>
  </cols>
  <sheetData>
    <row r="1" ht="12.75">
      <c r="C1" s="6" t="s">
        <v>284</v>
      </c>
    </row>
    <row r="2" spans="5:24" ht="12.75">
      <c r="E2" s="133"/>
      <c r="F2" s="133" t="s">
        <v>54</v>
      </c>
      <c r="G2" s="134"/>
      <c r="H2" s="134"/>
      <c r="I2" s="119"/>
      <c r="J2" s="133" t="s">
        <v>109</v>
      </c>
      <c r="K2" s="134"/>
      <c r="L2" s="134"/>
      <c r="M2" s="119"/>
      <c r="N2" s="133" t="s">
        <v>55</v>
      </c>
      <c r="O2" s="134"/>
      <c r="P2" s="134"/>
      <c r="Q2" s="119"/>
      <c r="R2" s="133" t="s">
        <v>164</v>
      </c>
      <c r="S2" s="134"/>
      <c r="T2" s="134"/>
      <c r="U2" s="119"/>
      <c r="V2" s="133" t="s">
        <v>165</v>
      </c>
      <c r="W2" s="134"/>
      <c r="X2" s="134"/>
    </row>
    <row r="3" spans="4:24" ht="12.75">
      <c r="D3" s="95" t="s">
        <v>23</v>
      </c>
      <c r="F3" s="50" t="s">
        <v>25</v>
      </c>
      <c r="G3" s="110" t="s">
        <v>25</v>
      </c>
      <c r="H3" s="110" t="s">
        <v>27</v>
      </c>
      <c r="I3" s="50"/>
      <c r="J3" s="50" t="s">
        <v>25</v>
      </c>
      <c r="K3" s="110" t="s">
        <v>25</v>
      </c>
      <c r="L3" s="110" t="s">
        <v>27</v>
      </c>
      <c r="M3" s="50"/>
      <c r="N3" s="50" t="s">
        <v>25</v>
      </c>
      <c r="O3" s="110" t="s">
        <v>25</v>
      </c>
      <c r="P3" s="110" t="s">
        <v>27</v>
      </c>
      <c r="Q3" s="50"/>
      <c r="R3" s="50" t="s">
        <v>25</v>
      </c>
      <c r="S3" s="110" t="s">
        <v>25</v>
      </c>
      <c r="T3" s="110" t="s">
        <v>27</v>
      </c>
      <c r="V3" s="50" t="s">
        <v>25</v>
      </c>
      <c r="W3" s="110" t="s">
        <v>25</v>
      </c>
      <c r="X3" s="110" t="s">
        <v>27</v>
      </c>
    </row>
    <row r="4" spans="4:24" ht="12.75">
      <c r="D4" s="95" t="s">
        <v>342</v>
      </c>
      <c r="F4" s="50" t="s">
        <v>343</v>
      </c>
      <c r="G4" s="110" t="s">
        <v>71</v>
      </c>
      <c r="H4" s="110" t="s">
        <v>71</v>
      </c>
      <c r="I4" s="50"/>
      <c r="J4" s="50" t="s">
        <v>343</v>
      </c>
      <c r="K4" s="110" t="s">
        <v>71</v>
      </c>
      <c r="L4" s="110" t="s">
        <v>71</v>
      </c>
      <c r="M4" s="50"/>
      <c r="N4" s="50" t="s">
        <v>343</v>
      </c>
      <c r="O4" s="110" t="s">
        <v>71</v>
      </c>
      <c r="P4" s="110" t="s">
        <v>71</v>
      </c>
      <c r="Q4" s="50"/>
      <c r="R4" s="50" t="s">
        <v>343</v>
      </c>
      <c r="S4" s="110" t="s">
        <v>71</v>
      </c>
      <c r="T4" s="110" t="s">
        <v>71</v>
      </c>
      <c r="V4" s="50" t="s">
        <v>343</v>
      </c>
      <c r="W4" s="110" t="s">
        <v>71</v>
      </c>
      <c r="X4" s="110" t="s">
        <v>71</v>
      </c>
    </row>
    <row r="5" spans="1:40" s="92" customFormat="1" ht="12.75">
      <c r="A5" s="92" t="s">
        <v>284</v>
      </c>
      <c r="B5" s="92">
        <v>1</v>
      </c>
      <c r="C5" s="92" t="s">
        <v>344</v>
      </c>
      <c r="D5" s="96">
        <v>1</v>
      </c>
      <c r="E5" s="93">
        <v>1</v>
      </c>
      <c r="F5" s="97">
        <v>0.0013369302220894849</v>
      </c>
      <c r="G5" s="97">
        <f>IF(E5=1,F5/2,F5)</f>
        <v>0.0006684651110447424</v>
      </c>
      <c r="H5" s="97">
        <f>G5*$D5</f>
        <v>0.0006684651110447424</v>
      </c>
      <c r="I5" s="93">
        <v>1</v>
      </c>
      <c r="J5" s="97">
        <v>0.0010665475421875728</v>
      </c>
      <c r="K5" s="97">
        <f>IF(I5=1,J5/2,J5)</f>
        <v>0.0005332737710937864</v>
      </c>
      <c r="L5" s="97">
        <f>K5*$D5</f>
        <v>0.0005332737710937864</v>
      </c>
      <c r="M5" s="93">
        <v>1</v>
      </c>
      <c r="N5" s="97">
        <v>0.00059419854455423</v>
      </c>
      <c r="O5" s="97">
        <f>IF(M5=1,N5/2,N5)</f>
        <v>0.000297099272277115</v>
      </c>
      <c r="P5" s="97">
        <f>O5*$D5</f>
        <v>0.000297099272277115</v>
      </c>
      <c r="Q5" s="93">
        <v>1</v>
      </c>
      <c r="R5" s="97">
        <v>0.0008228945825591257</v>
      </c>
      <c r="S5" s="97">
        <f>IF(Q5=1,R5/2,R5)</f>
        <v>0.00041144729127956287</v>
      </c>
      <c r="T5" s="97">
        <f>S5*$D5</f>
        <v>0.00041144729127956287</v>
      </c>
      <c r="U5" s="93">
        <v>1</v>
      </c>
      <c r="V5" s="97">
        <v>0.0008778141286773448</v>
      </c>
      <c r="W5" s="97">
        <f>IF(U5=1,V5/2,V5)</f>
        <v>0.0004389070643386724</v>
      </c>
      <c r="X5" s="97">
        <f>W5*$D5</f>
        <v>0.0004389070643386724</v>
      </c>
      <c r="Y5" s="93"/>
      <c r="Z5" s="98"/>
      <c r="AA5" s="93"/>
      <c r="AB5" s="98"/>
      <c r="AC5" s="93"/>
      <c r="AD5" s="98"/>
      <c r="AE5" s="93"/>
      <c r="AF5" s="98"/>
      <c r="AG5" s="93"/>
      <c r="AH5" s="98"/>
      <c r="AI5" s="93"/>
      <c r="AJ5" s="98"/>
      <c r="AK5" s="93"/>
      <c r="AL5" s="98"/>
      <c r="AM5" s="93"/>
      <c r="AN5" s="98"/>
    </row>
    <row r="6" spans="1:40" s="92" customFormat="1" ht="12.75">
      <c r="A6" s="92" t="s">
        <v>284</v>
      </c>
      <c r="B6" s="92">
        <v>2</v>
      </c>
      <c r="C6" s="92" t="s">
        <v>345</v>
      </c>
      <c r="D6" s="96">
        <v>0</v>
      </c>
      <c r="E6" s="93"/>
      <c r="F6" s="97">
        <v>0.04191669461021738</v>
      </c>
      <c r="G6" s="97">
        <f aca="true" t="shared" si="0" ref="G6:G37">IF(E6=1,F6/2,F6)</f>
        <v>0.04191669461021738</v>
      </c>
      <c r="H6" s="97">
        <f aca="true" t="shared" si="1" ref="H6:H37">G6*$D6</f>
        <v>0</v>
      </c>
      <c r="I6" s="93"/>
      <c r="J6" s="97">
        <v>0.032904966764527706</v>
      </c>
      <c r="K6" s="97">
        <f aca="true" t="shared" si="2" ref="K6:K37">IF(I6=1,J6/2,J6)</f>
        <v>0.032904966764527706</v>
      </c>
      <c r="L6" s="97">
        <f aca="true" t="shared" si="3" ref="L6:L37">K6*$D6</f>
        <v>0</v>
      </c>
      <c r="M6" s="93"/>
      <c r="N6" s="97">
        <v>0.03030412577226574</v>
      </c>
      <c r="O6" s="97">
        <f aca="true" t="shared" si="4" ref="O6:O37">IF(M6=1,N6/2,N6)</f>
        <v>0.03030412577226574</v>
      </c>
      <c r="P6" s="97">
        <f aca="true" t="shared" si="5" ref="P6:P37">O6*$D6</f>
        <v>0</v>
      </c>
      <c r="Q6" s="93"/>
      <c r="R6" s="97">
        <v>0.0269987793992018</v>
      </c>
      <c r="S6" s="97">
        <f aca="true" t="shared" si="6" ref="S6:S37">IF(Q6=1,R6/2,R6)</f>
        <v>0.0269987793992018</v>
      </c>
      <c r="T6" s="97">
        <f aca="true" t="shared" si="7" ref="T6:T37">S6*$D6</f>
        <v>0</v>
      </c>
      <c r="U6" s="93"/>
      <c r="V6" s="97">
        <v>0.029273192899805362</v>
      </c>
      <c r="W6" s="97">
        <f aca="true" t="shared" si="8" ref="W6:W37">IF(U6=1,V6/2,V6)</f>
        <v>0.029273192899805362</v>
      </c>
      <c r="X6" s="97">
        <f aca="true" t="shared" si="9" ref="X6:X37">W6*$D6</f>
        <v>0</v>
      </c>
      <c r="Y6" s="93"/>
      <c r="Z6" s="98"/>
      <c r="AA6" s="93"/>
      <c r="AB6" s="98"/>
      <c r="AC6" s="93"/>
      <c r="AD6" s="98"/>
      <c r="AE6" s="93"/>
      <c r="AF6" s="98"/>
      <c r="AG6" s="93"/>
      <c r="AH6" s="98"/>
      <c r="AI6" s="93"/>
      <c r="AJ6" s="98"/>
      <c r="AK6" s="93"/>
      <c r="AL6" s="98"/>
      <c r="AM6" s="93"/>
      <c r="AN6" s="98"/>
    </row>
    <row r="7" spans="1:40" s="92" customFormat="1" ht="12.75">
      <c r="A7" s="92" t="s">
        <v>284</v>
      </c>
      <c r="B7" s="92">
        <v>3</v>
      </c>
      <c r="C7" s="92" t="s">
        <v>346</v>
      </c>
      <c r="D7" s="96">
        <v>0</v>
      </c>
      <c r="E7" s="93"/>
      <c r="F7" s="97">
        <v>0.04325362483230687</v>
      </c>
      <c r="G7" s="97">
        <f t="shared" si="0"/>
        <v>0.04325362483230687</v>
      </c>
      <c r="H7" s="97">
        <f t="shared" si="1"/>
        <v>0</v>
      </c>
      <c r="I7" s="93"/>
      <c r="J7" s="97">
        <v>0.03397151430671528</v>
      </c>
      <c r="K7" s="97">
        <f t="shared" si="2"/>
        <v>0.03397151430671528</v>
      </c>
      <c r="L7" s="97">
        <f t="shared" si="3"/>
        <v>0</v>
      </c>
      <c r="M7" s="93"/>
      <c r="N7" s="97">
        <v>0.03089832431682</v>
      </c>
      <c r="O7" s="97">
        <f t="shared" si="4"/>
        <v>0.03089832431682</v>
      </c>
      <c r="P7" s="97">
        <f t="shared" si="5"/>
        <v>0</v>
      </c>
      <c r="Q7" s="93"/>
      <c r="R7" s="97">
        <v>0.027821673981761</v>
      </c>
      <c r="S7" s="97">
        <f t="shared" si="6"/>
        <v>0.027821673981761</v>
      </c>
      <c r="T7" s="97">
        <f t="shared" si="7"/>
        <v>0</v>
      </c>
      <c r="U7" s="93"/>
      <c r="V7" s="97">
        <v>0.030151007028482706</v>
      </c>
      <c r="W7" s="97">
        <f t="shared" si="8"/>
        <v>0.030151007028482706</v>
      </c>
      <c r="X7" s="97">
        <f t="shared" si="9"/>
        <v>0</v>
      </c>
      <c r="Y7" s="93"/>
      <c r="Z7" s="98"/>
      <c r="AA7" s="93"/>
      <c r="AB7" s="98"/>
      <c r="AC7" s="93"/>
      <c r="AD7" s="98"/>
      <c r="AE7" s="93"/>
      <c r="AF7" s="98"/>
      <c r="AG7" s="93"/>
      <c r="AH7" s="98"/>
      <c r="AI7" s="93"/>
      <c r="AJ7" s="98"/>
      <c r="AK7" s="93"/>
      <c r="AL7" s="98"/>
      <c r="AM7" s="93"/>
      <c r="AN7" s="98"/>
    </row>
    <row r="8" spans="1:40" s="92" customFormat="1" ht="12.75">
      <c r="A8" s="92" t="s">
        <v>284</v>
      </c>
      <c r="B8" s="92">
        <v>4</v>
      </c>
      <c r="C8" s="92" t="s">
        <v>347</v>
      </c>
      <c r="D8" s="96">
        <v>0.5</v>
      </c>
      <c r="E8" s="93"/>
      <c r="F8" s="97">
        <v>0.0038928262349076175</v>
      </c>
      <c r="G8" s="97">
        <f t="shared" si="0"/>
        <v>0.0038928262349076175</v>
      </c>
      <c r="H8" s="97">
        <f t="shared" si="1"/>
        <v>0.0019464131174538088</v>
      </c>
      <c r="I8" s="93">
        <v>1</v>
      </c>
      <c r="J8" s="97">
        <v>0.0010270457813658107</v>
      </c>
      <c r="K8" s="97">
        <f t="shared" si="2"/>
        <v>0.0005135228906829053</v>
      </c>
      <c r="L8" s="97">
        <f t="shared" si="3"/>
        <v>0.00025676144534145267</v>
      </c>
      <c r="M8" s="93">
        <v>1</v>
      </c>
      <c r="N8" s="97">
        <v>0.0016637559247518444</v>
      </c>
      <c r="O8" s="97">
        <f t="shared" si="4"/>
        <v>0.0008318779623759222</v>
      </c>
      <c r="P8" s="97">
        <f t="shared" si="5"/>
        <v>0.0004159389811879611</v>
      </c>
      <c r="Q8" s="93">
        <v>1</v>
      </c>
      <c r="R8" s="97">
        <v>0.001449861883556555</v>
      </c>
      <c r="S8" s="97">
        <f t="shared" si="6"/>
        <v>0.0007249309417782775</v>
      </c>
      <c r="T8" s="97">
        <f t="shared" si="7"/>
        <v>0.00036246547088913874</v>
      </c>
      <c r="U8" s="93">
        <v>1</v>
      </c>
      <c r="V8" s="97">
        <v>0.001335804108856829</v>
      </c>
      <c r="W8" s="97">
        <f t="shared" si="8"/>
        <v>0.0006679020544284145</v>
      </c>
      <c r="X8" s="97">
        <f t="shared" si="9"/>
        <v>0.00033395102721420726</v>
      </c>
      <c r="Y8" s="93"/>
      <c r="Z8" s="98"/>
      <c r="AA8" s="93"/>
      <c r="AB8" s="98"/>
      <c r="AC8" s="93"/>
      <c r="AD8" s="98"/>
      <c r="AE8" s="93"/>
      <c r="AF8" s="98"/>
      <c r="AG8" s="93"/>
      <c r="AH8" s="98"/>
      <c r="AI8" s="93"/>
      <c r="AJ8" s="98"/>
      <c r="AK8" s="93"/>
      <c r="AL8" s="98"/>
      <c r="AM8" s="93"/>
      <c r="AN8" s="98"/>
    </row>
    <row r="9" spans="1:40" s="92" customFormat="1" ht="12.75">
      <c r="A9" s="92" t="s">
        <v>284</v>
      </c>
      <c r="B9" s="92">
        <v>5</v>
      </c>
      <c r="C9" s="92" t="s">
        <v>348</v>
      </c>
      <c r="D9" s="96">
        <v>0</v>
      </c>
      <c r="E9" s="93"/>
      <c r="F9" s="97">
        <v>0.06295368486956662</v>
      </c>
      <c r="G9" s="97">
        <f t="shared" si="0"/>
        <v>0.06295368486956662</v>
      </c>
      <c r="H9" s="97">
        <f t="shared" si="1"/>
        <v>0</v>
      </c>
      <c r="I9" s="93"/>
      <c r="J9" s="97">
        <v>0.03531457417465519</v>
      </c>
      <c r="K9" s="97">
        <f t="shared" si="2"/>
        <v>0.03531457417465519</v>
      </c>
      <c r="L9" s="97">
        <f t="shared" si="3"/>
        <v>0</v>
      </c>
      <c r="M9" s="93"/>
      <c r="N9" s="97">
        <v>0.02725390657688735</v>
      </c>
      <c r="O9" s="97">
        <f t="shared" si="4"/>
        <v>0.02725390657688735</v>
      </c>
      <c r="P9" s="97">
        <f t="shared" si="5"/>
        <v>0</v>
      </c>
      <c r="Q9" s="93"/>
      <c r="R9" s="97">
        <v>0.0248043938457108</v>
      </c>
      <c r="S9" s="97">
        <f t="shared" si="6"/>
        <v>0.0248043938457108</v>
      </c>
      <c r="T9" s="97">
        <f t="shared" si="7"/>
        <v>0</v>
      </c>
      <c r="U9" s="93"/>
      <c r="V9" s="97">
        <v>0.0238536448010148</v>
      </c>
      <c r="W9" s="97">
        <f t="shared" si="8"/>
        <v>0.0238536448010148</v>
      </c>
      <c r="X9" s="97">
        <f t="shared" si="9"/>
        <v>0</v>
      </c>
      <c r="Y9" s="93"/>
      <c r="Z9" s="98"/>
      <c r="AA9" s="93"/>
      <c r="AB9" s="98"/>
      <c r="AC9" s="93"/>
      <c r="AD9" s="98"/>
      <c r="AE9" s="93"/>
      <c r="AF9" s="98"/>
      <c r="AG9" s="93"/>
      <c r="AH9" s="98"/>
      <c r="AI9" s="93"/>
      <c r="AJ9" s="98"/>
      <c r="AK9" s="93"/>
      <c r="AL9" s="98"/>
      <c r="AM9" s="93"/>
      <c r="AN9" s="98"/>
    </row>
    <row r="10" spans="1:40" s="92" customFormat="1" ht="12.75">
      <c r="A10" s="92" t="s">
        <v>284</v>
      </c>
      <c r="B10" s="92">
        <v>6</v>
      </c>
      <c r="C10" s="92" t="s">
        <v>349</v>
      </c>
      <c r="D10" s="96">
        <v>0</v>
      </c>
      <c r="E10" s="93"/>
      <c r="F10" s="97">
        <v>0.06684651110447425</v>
      </c>
      <c r="G10" s="97">
        <f t="shared" si="0"/>
        <v>0.06684651110447425</v>
      </c>
      <c r="H10" s="97">
        <f t="shared" si="1"/>
        <v>0</v>
      </c>
      <c r="I10" s="93"/>
      <c r="J10" s="97">
        <v>0.036341619956021</v>
      </c>
      <c r="K10" s="97">
        <f t="shared" si="2"/>
        <v>0.036341619956021</v>
      </c>
      <c r="L10" s="97">
        <f t="shared" si="3"/>
        <v>0</v>
      </c>
      <c r="M10" s="93"/>
      <c r="N10" s="97">
        <v>0.028917662501639192</v>
      </c>
      <c r="O10" s="97">
        <f t="shared" si="4"/>
        <v>0.028917662501639192</v>
      </c>
      <c r="P10" s="97">
        <f t="shared" si="5"/>
        <v>0</v>
      </c>
      <c r="Q10" s="93"/>
      <c r="R10" s="97">
        <v>0.026254255729267345</v>
      </c>
      <c r="S10" s="97">
        <f t="shared" si="6"/>
        <v>0.026254255729267345</v>
      </c>
      <c r="T10" s="97">
        <f t="shared" si="7"/>
        <v>0</v>
      </c>
      <c r="U10" s="93"/>
      <c r="V10" s="97">
        <v>0.025189448909871633</v>
      </c>
      <c r="W10" s="97">
        <f t="shared" si="8"/>
        <v>0.025189448909871633</v>
      </c>
      <c r="X10" s="97">
        <f t="shared" si="9"/>
        <v>0</v>
      </c>
      <c r="Y10" s="93"/>
      <c r="Z10" s="98"/>
      <c r="AA10" s="93"/>
      <c r="AB10" s="98"/>
      <c r="AC10" s="93"/>
      <c r="AD10" s="98"/>
      <c r="AE10" s="93"/>
      <c r="AF10" s="98"/>
      <c r="AG10" s="93"/>
      <c r="AH10" s="98"/>
      <c r="AI10" s="93"/>
      <c r="AJ10" s="98"/>
      <c r="AK10" s="93"/>
      <c r="AL10" s="98"/>
      <c r="AM10" s="93"/>
      <c r="AN10" s="98"/>
    </row>
    <row r="11" spans="1:40" s="92" customFormat="1" ht="12.75">
      <c r="A11" s="92" t="s">
        <v>284</v>
      </c>
      <c r="B11" s="92">
        <v>7</v>
      </c>
      <c r="C11" s="92" t="s">
        <v>350</v>
      </c>
      <c r="D11" s="96">
        <v>0.1</v>
      </c>
      <c r="E11" s="93"/>
      <c r="F11" s="97">
        <v>0.0026345389670587</v>
      </c>
      <c r="G11" s="97">
        <f t="shared" si="0"/>
        <v>0.0026345389670587</v>
      </c>
      <c r="H11" s="97">
        <f t="shared" si="1"/>
        <v>0.00026345389670587</v>
      </c>
      <c r="I11" s="93">
        <v>1</v>
      </c>
      <c r="J11" s="97">
        <v>0.0013035581071181442</v>
      </c>
      <c r="K11" s="97">
        <f t="shared" si="2"/>
        <v>0.0006517790535590721</v>
      </c>
      <c r="L11" s="97">
        <f t="shared" si="3"/>
        <v>6.517790535590722E-05</v>
      </c>
      <c r="M11" s="93">
        <v>1</v>
      </c>
      <c r="N11" s="97">
        <v>0.001386463270626537</v>
      </c>
      <c r="O11" s="97">
        <f t="shared" si="4"/>
        <v>0.0006932316353132685</v>
      </c>
      <c r="P11" s="97">
        <f t="shared" si="5"/>
        <v>6.932316353132685E-05</v>
      </c>
      <c r="Q11" s="93">
        <v>1</v>
      </c>
      <c r="R11" s="97">
        <v>0.0014890473398689</v>
      </c>
      <c r="S11" s="97">
        <f t="shared" si="6"/>
        <v>0.00074452366993445</v>
      </c>
      <c r="T11" s="97">
        <f t="shared" si="7"/>
        <v>7.4452366993445E-05</v>
      </c>
      <c r="U11" s="93">
        <v>1</v>
      </c>
      <c r="V11" s="97">
        <v>0.001564799098946571</v>
      </c>
      <c r="W11" s="97">
        <f t="shared" si="8"/>
        <v>0.0007823995494732855</v>
      </c>
      <c r="X11" s="97">
        <f t="shared" si="9"/>
        <v>7.823995494732855E-05</v>
      </c>
      <c r="Y11" s="93"/>
      <c r="Z11" s="98"/>
      <c r="AA11" s="93"/>
      <c r="AB11" s="98"/>
      <c r="AC11" s="93"/>
      <c r="AD11" s="98"/>
      <c r="AE11" s="93"/>
      <c r="AF11" s="98"/>
      <c r="AG11" s="93"/>
      <c r="AH11" s="98"/>
      <c r="AI11" s="93"/>
      <c r="AJ11" s="98"/>
      <c r="AK11" s="93"/>
      <c r="AL11" s="98"/>
      <c r="AM11" s="93"/>
      <c r="AN11" s="98"/>
    </row>
    <row r="12" spans="1:40" s="92" customFormat="1" ht="12.75">
      <c r="A12" s="92" t="s">
        <v>284</v>
      </c>
      <c r="B12" s="92">
        <v>8</v>
      </c>
      <c r="C12" s="92" t="s">
        <v>351</v>
      </c>
      <c r="D12" s="96">
        <v>0.1</v>
      </c>
      <c r="E12" s="93"/>
      <c r="F12" s="97">
        <v>0.007077865881650214</v>
      </c>
      <c r="G12" s="97">
        <f t="shared" si="0"/>
        <v>0.007077865881650214</v>
      </c>
      <c r="H12" s="97">
        <f t="shared" si="1"/>
        <v>0.0007077865881650214</v>
      </c>
      <c r="I12" s="93">
        <v>1</v>
      </c>
      <c r="J12" s="97">
        <v>0.0022516003668404316</v>
      </c>
      <c r="K12" s="97">
        <f t="shared" si="2"/>
        <v>0.0011258001834202158</v>
      </c>
      <c r="L12" s="97">
        <f t="shared" si="3"/>
        <v>0.00011258001834202158</v>
      </c>
      <c r="M12" s="93">
        <v>1</v>
      </c>
      <c r="N12" s="97">
        <v>0.002535247123431382</v>
      </c>
      <c r="O12" s="97">
        <f t="shared" si="4"/>
        <v>0.001267623561715691</v>
      </c>
      <c r="P12" s="97">
        <f t="shared" si="5"/>
        <v>0.0001267623561715691</v>
      </c>
      <c r="Q12" s="93"/>
      <c r="R12" s="97">
        <v>0.0029780946797377883</v>
      </c>
      <c r="S12" s="97">
        <f t="shared" si="6"/>
        <v>0.0029780946797377883</v>
      </c>
      <c r="T12" s="97">
        <f t="shared" si="7"/>
        <v>0.0002978094679737789</v>
      </c>
      <c r="U12" s="93">
        <v>1</v>
      </c>
      <c r="V12" s="97">
        <v>0.002480779059305539</v>
      </c>
      <c r="W12" s="97">
        <f t="shared" si="8"/>
        <v>0.0012403895296527695</v>
      </c>
      <c r="X12" s="97">
        <f t="shared" si="9"/>
        <v>0.00012403895296527696</v>
      </c>
      <c r="Y12" s="93"/>
      <c r="Z12" s="98"/>
      <c r="AA12" s="93"/>
      <c r="AB12" s="98"/>
      <c r="AC12" s="93"/>
      <c r="AD12" s="98"/>
      <c r="AE12" s="93"/>
      <c r="AF12" s="98"/>
      <c r="AG12" s="93"/>
      <c r="AH12" s="98"/>
      <c r="AI12" s="93"/>
      <c r="AJ12" s="98"/>
      <c r="AK12" s="93"/>
      <c r="AL12" s="98"/>
      <c r="AM12" s="93"/>
      <c r="AN12" s="98"/>
    </row>
    <row r="13" spans="1:40" s="92" customFormat="1" ht="12.75">
      <c r="A13" s="92" t="s">
        <v>284</v>
      </c>
      <c r="B13" s="92">
        <v>9</v>
      </c>
      <c r="C13" s="92" t="s">
        <v>352</v>
      </c>
      <c r="D13" s="96">
        <v>0.1</v>
      </c>
      <c r="E13" s="93"/>
      <c r="F13" s="97">
        <v>0.0029884322611412</v>
      </c>
      <c r="G13" s="97">
        <f t="shared" si="0"/>
        <v>0.0029884322611412</v>
      </c>
      <c r="H13" s="97">
        <f t="shared" si="1"/>
        <v>0.00029884322611412</v>
      </c>
      <c r="I13" s="93">
        <v>1</v>
      </c>
      <c r="J13" s="97">
        <v>0.0011850528246528586</v>
      </c>
      <c r="K13" s="97">
        <f t="shared" si="2"/>
        <v>0.0005925264123264293</v>
      </c>
      <c r="L13" s="97">
        <f t="shared" si="3"/>
        <v>5.925264123264293E-05</v>
      </c>
      <c r="M13" s="93">
        <v>1</v>
      </c>
      <c r="N13" s="97">
        <v>0.0013468500343229216</v>
      </c>
      <c r="O13" s="97">
        <f t="shared" si="4"/>
        <v>0.0006734250171614608</v>
      </c>
      <c r="P13" s="97">
        <f t="shared" si="5"/>
        <v>6.734250171614608E-05</v>
      </c>
      <c r="Q13" s="93">
        <v>1</v>
      </c>
      <c r="R13" s="97">
        <v>0.0010580073204331615</v>
      </c>
      <c r="S13" s="97">
        <f t="shared" si="6"/>
        <v>0.0005290036602165807</v>
      </c>
      <c r="T13" s="97">
        <f t="shared" si="7"/>
        <v>5.2900366021658076E-05</v>
      </c>
      <c r="U13" s="93">
        <v>1</v>
      </c>
      <c r="V13" s="97">
        <v>0.001335804108856829</v>
      </c>
      <c r="W13" s="97">
        <f t="shared" si="8"/>
        <v>0.0006679020544284145</v>
      </c>
      <c r="X13" s="97">
        <f t="shared" si="9"/>
        <v>6.679020544284145E-05</v>
      </c>
      <c r="Y13" s="93"/>
      <c r="Z13" s="98"/>
      <c r="AA13" s="93"/>
      <c r="AB13" s="98"/>
      <c r="AC13" s="93"/>
      <c r="AD13" s="98"/>
      <c r="AE13" s="93"/>
      <c r="AF13" s="98"/>
      <c r="AG13" s="93"/>
      <c r="AH13" s="98"/>
      <c r="AI13" s="93"/>
      <c r="AJ13" s="98"/>
      <c r="AK13" s="93"/>
      <c r="AL13" s="98"/>
      <c r="AM13" s="93"/>
      <c r="AN13" s="98"/>
    </row>
    <row r="14" spans="1:40" s="92" customFormat="1" ht="12.75">
      <c r="A14" s="92" t="s">
        <v>284</v>
      </c>
      <c r="B14" s="92">
        <v>10</v>
      </c>
      <c r="C14" s="92" t="s">
        <v>353</v>
      </c>
      <c r="D14" s="96">
        <v>0</v>
      </c>
      <c r="E14" s="93"/>
      <c r="F14" s="97">
        <v>0.04628137857056835</v>
      </c>
      <c r="G14" s="97">
        <f t="shared" si="0"/>
        <v>0.04628137857056835</v>
      </c>
      <c r="H14" s="97">
        <f t="shared" si="1"/>
        <v>0</v>
      </c>
      <c r="I14" s="93"/>
      <c r="J14" s="97">
        <v>0.0240960741012748</v>
      </c>
      <c r="K14" s="97">
        <f t="shared" si="2"/>
        <v>0.0240960741012748</v>
      </c>
      <c r="L14" s="97">
        <f t="shared" si="3"/>
        <v>0</v>
      </c>
      <c r="M14" s="93"/>
      <c r="N14" s="97">
        <v>0.0216684402580776</v>
      </c>
      <c r="O14" s="97">
        <f t="shared" si="4"/>
        <v>0.0216684402580776</v>
      </c>
      <c r="P14" s="97">
        <f t="shared" si="5"/>
        <v>0</v>
      </c>
      <c r="Q14" s="93"/>
      <c r="R14" s="97">
        <v>0.0273906339623252</v>
      </c>
      <c r="S14" s="97">
        <f t="shared" si="6"/>
        <v>0.0273906339623252</v>
      </c>
      <c r="T14" s="97">
        <f t="shared" si="7"/>
        <v>0</v>
      </c>
      <c r="U14" s="93"/>
      <c r="V14" s="97">
        <v>0.025914599711822483</v>
      </c>
      <c r="W14" s="97">
        <f t="shared" si="8"/>
        <v>0.025914599711822483</v>
      </c>
      <c r="X14" s="97">
        <f t="shared" si="9"/>
        <v>0</v>
      </c>
      <c r="Y14" s="93"/>
      <c r="Z14" s="98"/>
      <c r="AA14" s="93"/>
      <c r="AB14" s="98"/>
      <c r="AC14" s="93"/>
      <c r="AD14" s="98"/>
      <c r="AE14" s="93"/>
      <c r="AF14" s="98"/>
      <c r="AG14" s="93"/>
      <c r="AH14" s="98"/>
      <c r="AI14" s="93"/>
      <c r="AJ14" s="98"/>
      <c r="AK14" s="93"/>
      <c r="AL14" s="98"/>
      <c r="AM14" s="93"/>
      <c r="AN14" s="98"/>
    </row>
    <row r="15" spans="1:40" s="92" customFormat="1" ht="12.75">
      <c r="A15" s="92" t="s">
        <v>284</v>
      </c>
      <c r="B15" s="92">
        <v>11</v>
      </c>
      <c r="C15" s="92" t="s">
        <v>354</v>
      </c>
      <c r="D15" s="96">
        <v>0</v>
      </c>
      <c r="E15" s="93"/>
      <c r="F15" s="97">
        <v>0.05898221568041845</v>
      </c>
      <c r="G15" s="97">
        <f t="shared" si="0"/>
        <v>0.05898221568041845</v>
      </c>
      <c r="H15" s="97">
        <f t="shared" si="1"/>
        <v>0</v>
      </c>
      <c r="I15" s="93"/>
      <c r="J15" s="97">
        <v>0.028836285399886228</v>
      </c>
      <c r="K15" s="97">
        <f t="shared" si="2"/>
        <v>0.028836285399886228</v>
      </c>
      <c r="L15" s="97">
        <f t="shared" si="3"/>
        <v>0</v>
      </c>
      <c r="M15" s="93"/>
      <c r="N15" s="97">
        <v>0.02693700068645843</v>
      </c>
      <c r="O15" s="97">
        <f t="shared" si="4"/>
        <v>0.02693700068645843</v>
      </c>
      <c r="P15" s="97">
        <f t="shared" si="5"/>
        <v>0</v>
      </c>
      <c r="Q15" s="93"/>
      <c r="R15" s="97">
        <v>0.032915783302365</v>
      </c>
      <c r="S15" s="97">
        <f t="shared" si="6"/>
        <v>0.032915783302365</v>
      </c>
      <c r="T15" s="97">
        <f t="shared" si="7"/>
        <v>0</v>
      </c>
      <c r="U15" s="93"/>
      <c r="V15" s="97">
        <v>0.03129598197893142</v>
      </c>
      <c r="W15" s="97">
        <f t="shared" si="8"/>
        <v>0.03129598197893142</v>
      </c>
      <c r="X15" s="97">
        <f t="shared" si="9"/>
        <v>0</v>
      </c>
      <c r="Y15" s="93"/>
      <c r="Z15" s="98"/>
      <c r="AA15" s="93"/>
      <c r="AB15" s="98"/>
      <c r="AC15" s="93"/>
      <c r="AD15" s="98"/>
      <c r="AE15" s="93"/>
      <c r="AF15" s="98"/>
      <c r="AG15" s="93"/>
      <c r="AH15" s="98"/>
      <c r="AI15" s="93"/>
      <c r="AJ15" s="98"/>
      <c r="AK15" s="93"/>
      <c r="AL15" s="98"/>
      <c r="AM15" s="93"/>
      <c r="AN15" s="98"/>
    </row>
    <row r="16" spans="1:40" s="92" customFormat="1" ht="12.75">
      <c r="A16" s="92" t="s">
        <v>284</v>
      </c>
      <c r="B16" s="92">
        <v>12</v>
      </c>
      <c r="C16" s="92" t="s">
        <v>355</v>
      </c>
      <c r="D16" s="96">
        <v>0.01</v>
      </c>
      <c r="E16" s="93"/>
      <c r="F16" s="97">
        <v>0.021233597644950638</v>
      </c>
      <c r="G16" s="97">
        <f t="shared" si="0"/>
        <v>0.021233597644950638</v>
      </c>
      <c r="H16" s="97">
        <f t="shared" si="1"/>
        <v>0.0002123359764495064</v>
      </c>
      <c r="I16" s="93"/>
      <c r="J16" s="97">
        <v>0.015010669112269542</v>
      </c>
      <c r="K16" s="97">
        <f t="shared" si="2"/>
        <v>0.015010669112269542</v>
      </c>
      <c r="L16" s="97">
        <f t="shared" si="3"/>
        <v>0.00015010669112269543</v>
      </c>
      <c r="M16" s="93"/>
      <c r="N16" s="97">
        <v>0.011883970891084603</v>
      </c>
      <c r="O16" s="97">
        <f t="shared" si="4"/>
        <v>0.011883970891084603</v>
      </c>
      <c r="P16" s="97">
        <f t="shared" si="5"/>
        <v>0.00011883970891084603</v>
      </c>
      <c r="Q16" s="93"/>
      <c r="R16" s="97">
        <v>0.01880901902992287</v>
      </c>
      <c r="S16" s="97">
        <f t="shared" si="6"/>
        <v>0.01880901902992287</v>
      </c>
      <c r="T16" s="97">
        <f t="shared" si="7"/>
        <v>0.0001880901902992287</v>
      </c>
      <c r="U16" s="93"/>
      <c r="V16" s="97">
        <v>0.016411307623098184</v>
      </c>
      <c r="W16" s="97">
        <f t="shared" si="8"/>
        <v>0.016411307623098184</v>
      </c>
      <c r="X16" s="97">
        <f t="shared" si="9"/>
        <v>0.00016411307623098183</v>
      </c>
      <c r="Y16" s="93"/>
      <c r="Z16" s="98"/>
      <c r="AA16" s="93"/>
      <c r="AB16" s="98"/>
      <c r="AC16" s="93"/>
      <c r="AD16" s="98"/>
      <c r="AE16" s="93"/>
      <c r="AF16" s="98"/>
      <c r="AG16" s="93"/>
      <c r="AH16" s="98"/>
      <c r="AI16" s="93"/>
      <c r="AJ16" s="98"/>
      <c r="AK16" s="93"/>
      <c r="AL16" s="98"/>
      <c r="AM16" s="93"/>
      <c r="AN16" s="98"/>
    </row>
    <row r="17" spans="1:40" s="92" customFormat="1" ht="12.75">
      <c r="A17" s="92" t="s">
        <v>284</v>
      </c>
      <c r="B17" s="92">
        <v>13</v>
      </c>
      <c r="C17" s="92" t="s">
        <v>356</v>
      </c>
      <c r="D17" s="96">
        <v>0</v>
      </c>
      <c r="E17" s="93"/>
      <c r="F17" s="97">
        <v>0.02202002718735623</v>
      </c>
      <c r="G17" s="97">
        <f t="shared" si="0"/>
        <v>0.02202002718735623</v>
      </c>
      <c r="H17" s="97">
        <f t="shared" si="1"/>
        <v>0</v>
      </c>
      <c r="I17" s="93"/>
      <c r="J17" s="97">
        <v>0.01659073954514</v>
      </c>
      <c r="K17" s="97">
        <f t="shared" si="2"/>
        <v>0.01659073954514</v>
      </c>
      <c r="L17" s="97">
        <f t="shared" si="3"/>
        <v>0</v>
      </c>
      <c r="M17" s="93"/>
      <c r="N17" s="97">
        <v>0.0126762356171569</v>
      </c>
      <c r="O17" s="97">
        <f t="shared" si="4"/>
        <v>0.0126762356171569</v>
      </c>
      <c r="P17" s="97">
        <f t="shared" si="5"/>
        <v>0</v>
      </c>
      <c r="Q17" s="93"/>
      <c r="R17" s="97">
        <v>0.019984582719293</v>
      </c>
      <c r="S17" s="97">
        <f t="shared" si="6"/>
        <v>0.019984582719293</v>
      </c>
      <c r="T17" s="97">
        <f t="shared" si="7"/>
        <v>0</v>
      </c>
      <c r="U17" s="93"/>
      <c r="V17" s="97">
        <v>0.01793794089036313</v>
      </c>
      <c r="W17" s="97">
        <f t="shared" si="8"/>
        <v>0.01793794089036313</v>
      </c>
      <c r="X17" s="97">
        <f t="shared" si="9"/>
        <v>0</v>
      </c>
      <c r="Y17" s="93"/>
      <c r="Z17" s="98"/>
      <c r="AA17" s="93"/>
      <c r="AB17" s="98"/>
      <c r="AC17" s="93"/>
      <c r="AD17" s="98"/>
      <c r="AE17" s="93"/>
      <c r="AF17" s="98"/>
      <c r="AG17" s="93"/>
      <c r="AH17" s="98"/>
      <c r="AI17" s="93"/>
      <c r="AJ17" s="98"/>
      <c r="AK17" s="93"/>
      <c r="AL17" s="98"/>
      <c r="AM17" s="93"/>
      <c r="AN17" s="98"/>
    </row>
    <row r="18" spans="1:40" s="92" customFormat="1" ht="12.75">
      <c r="A18" s="92" t="s">
        <v>284</v>
      </c>
      <c r="B18" s="92">
        <v>14</v>
      </c>
      <c r="C18" s="92" t="s">
        <v>357</v>
      </c>
      <c r="D18" s="96">
        <v>0</v>
      </c>
      <c r="E18" s="93"/>
      <c r="F18" s="97">
        <v>0.04325362483230687</v>
      </c>
      <c r="G18" s="97">
        <f t="shared" si="0"/>
        <v>0.04325362483230687</v>
      </c>
      <c r="H18" s="97">
        <f t="shared" si="1"/>
        <v>0</v>
      </c>
      <c r="I18" s="93"/>
      <c r="J18" s="97">
        <v>0.03160140865740956</v>
      </c>
      <c r="K18" s="97">
        <f t="shared" si="2"/>
        <v>0.03160140865740956</v>
      </c>
      <c r="L18" s="97">
        <f t="shared" si="3"/>
        <v>0</v>
      </c>
      <c r="M18" s="93"/>
      <c r="N18" s="97">
        <v>0.024560206508241512</v>
      </c>
      <c r="O18" s="97">
        <f t="shared" si="4"/>
        <v>0.024560206508241512</v>
      </c>
      <c r="P18" s="97">
        <f t="shared" si="5"/>
        <v>0</v>
      </c>
      <c r="Q18" s="93"/>
      <c r="R18" s="97">
        <v>0.038793601749216</v>
      </c>
      <c r="S18" s="97">
        <f t="shared" si="6"/>
        <v>0.038793601749216</v>
      </c>
      <c r="T18" s="97">
        <f t="shared" si="7"/>
        <v>0</v>
      </c>
      <c r="U18" s="93"/>
      <c r="V18" s="97">
        <v>0.034349248513461314</v>
      </c>
      <c r="W18" s="97">
        <f t="shared" si="8"/>
        <v>0.034349248513461314</v>
      </c>
      <c r="X18" s="97">
        <f t="shared" si="9"/>
        <v>0</v>
      </c>
      <c r="Y18" s="93"/>
      <c r="Z18" s="98"/>
      <c r="AA18" s="93"/>
      <c r="AB18" s="98"/>
      <c r="AC18" s="93"/>
      <c r="AD18" s="98"/>
      <c r="AE18" s="93"/>
      <c r="AF18" s="98"/>
      <c r="AG18" s="93"/>
      <c r="AH18" s="98"/>
      <c r="AI18" s="93"/>
      <c r="AJ18" s="98"/>
      <c r="AK18" s="93"/>
      <c r="AL18" s="98"/>
      <c r="AM18" s="93"/>
      <c r="AN18" s="98"/>
    </row>
    <row r="19" spans="1:40" s="92" customFormat="1" ht="12.75">
      <c r="A19" s="92" t="s">
        <v>284</v>
      </c>
      <c r="B19" s="92">
        <v>15</v>
      </c>
      <c r="C19" s="92" t="s">
        <v>358</v>
      </c>
      <c r="D19" s="96">
        <v>0.001</v>
      </c>
      <c r="E19" s="93"/>
      <c r="F19" s="97">
        <v>0.06684651110447425</v>
      </c>
      <c r="G19" s="97">
        <f t="shared" si="0"/>
        <v>0.06684651110447425</v>
      </c>
      <c r="H19" s="97">
        <f t="shared" si="1"/>
        <v>6.684651110447424E-05</v>
      </c>
      <c r="I19" s="93"/>
      <c r="J19" s="97">
        <v>0.11455510638311</v>
      </c>
      <c r="K19" s="97">
        <f t="shared" si="2"/>
        <v>0.11455510638311</v>
      </c>
      <c r="L19" s="97">
        <f t="shared" si="3"/>
        <v>0.00011455510638311001</v>
      </c>
      <c r="M19" s="93"/>
      <c r="N19" s="97">
        <v>0.039613236303615344</v>
      </c>
      <c r="O19" s="97">
        <f t="shared" si="4"/>
        <v>0.039613236303615344</v>
      </c>
      <c r="P19" s="97">
        <f t="shared" si="5"/>
        <v>3.961323630361534E-05</v>
      </c>
      <c r="Q19" s="93"/>
      <c r="R19" s="97">
        <v>0.07445236699344471</v>
      </c>
      <c r="S19" s="97">
        <f t="shared" si="6"/>
        <v>0.07445236699344471</v>
      </c>
      <c r="T19" s="97">
        <f t="shared" si="7"/>
        <v>7.44523669934447E-05</v>
      </c>
      <c r="U19" s="93"/>
      <c r="V19" s="97">
        <v>0.06488191385876026</v>
      </c>
      <c r="W19" s="97">
        <f t="shared" si="8"/>
        <v>0.06488191385876026</v>
      </c>
      <c r="X19" s="97">
        <f t="shared" si="9"/>
        <v>6.488191385876026E-05</v>
      </c>
      <c r="Y19" s="93"/>
      <c r="Z19" s="98"/>
      <c r="AA19" s="93"/>
      <c r="AB19" s="98"/>
      <c r="AC19" s="93"/>
      <c r="AD19" s="98"/>
      <c r="AE19" s="93"/>
      <c r="AF19" s="98"/>
      <c r="AG19" s="93"/>
      <c r="AH19" s="98"/>
      <c r="AI19" s="93"/>
      <c r="AJ19" s="98"/>
      <c r="AK19" s="93"/>
      <c r="AL19" s="98"/>
      <c r="AM19" s="93"/>
      <c r="AN19" s="98"/>
    </row>
    <row r="20" spans="1:40" s="92" customFormat="1" ht="12.75">
      <c r="A20" s="92" t="s">
        <v>284</v>
      </c>
      <c r="B20" s="92">
        <v>16</v>
      </c>
      <c r="C20" s="92" t="s">
        <v>359</v>
      </c>
      <c r="D20" s="96">
        <v>0.1</v>
      </c>
      <c r="E20" s="93"/>
      <c r="F20" s="97">
        <v>0.005898221568041845</v>
      </c>
      <c r="G20" s="97">
        <f t="shared" si="0"/>
        <v>0.005898221568041845</v>
      </c>
      <c r="H20" s="97">
        <f t="shared" si="1"/>
        <v>0.0005898221568041845</v>
      </c>
      <c r="I20" s="93"/>
      <c r="J20" s="97">
        <v>0.002962632061632146</v>
      </c>
      <c r="K20" s="97">
        <f t="shared" si="2"/>
        <v>0.002962632061632146</v>
      </c>
      <c r="L20" s="97">
        <f t="shared" si="3"/>
        <v>0.00029626320616321465</v>
      </c>
      <c r="M20" s="93"/>
      <c r="N20" s="97">
        <v>0.00348596479471815</v>
      </c>
      <c r="O20" s="97">
        <f t="shared" si="4"/>
        <v>0.00348596479471815</v>
      </c>
      <c r="P20" s="97">
        <f t="shared" si="5"/>
        <v>0.000348596479471815</v>
      </c>
      <c r="Q20" s="93"/>
      <c r="R20" s="97">
        <v>0.0028997237671131</v>
      </c>
      <c r="S20" s="97">
        <f t="shared" si="6"/>
        <v>0.0028997237671131</v>
      </c>
      <c r="T20" s="97">
        <f t="shared" si="7"/>
        <v>0.00028997237671131</v>
      </c>
      <c r="U20" s="93"/>
      <c r="V20" s="97">
        <v>0.0030914323662115184</v>
      </c>
      <c r="W20" s="97">
        <f t="shared" si="8"/>
        <v>0.0030914323662115184</v>
      </c>
      <c r="X20" s="97">
        <f t="shared" si="9"/>
        <v>0.0003091432366211519</v>
      </c>
      <c r="Y20" s="93"/>
      <c r="Z20" s="98"/>
      <c r="AA20" s="93"/>
      <c r="AB20" s="98"/>
      <c r="AC20" s="93"/>
      <c r="AD20" s="98"/>
      <c r="AE20" s="93"/>
      <c r="AF20" s="98"/>
      <c r="AG20" s="93"/>
      <c r="AH20" s="98"/>
      <c r="AI20" s="93"/>
      <c r="AJ20" s="98"/>
      <c r="AK20" s="93"/>
      <c r="AL20" s="98"/>
      <c r="AM20" s="93"/>
      <c r="AN20" s="98"/>
    </row>
    <row r="21" spans="1:40" s="92" customFormat="1" ht="12.75">
      <c r="A21" s="92" t="s">
        <v>284</v>
      </c>
      <c r="B21" s="92">
        <v>17</v>
      </c>
      <c r="C21" s="92" t="s">
        <v>360</v>
      </c>
      <c r="D21" s="96">
        <v>0</v>
      </c>
      <c r="E21" s="93"/>
      <c r="F21" s="97">
        <v>0.3519272202264968</v>
      </c>
      <c r="G21" s="97">
        <f t="shared" si="0"/>
        <v>0.3519272202264968</v>
      </c>
      <c r="H21" s="97">
        <f t="shared" si="1"/>
        <v>0</v>
      </c>
      <c r="I21" s="93"/>
      <c r="J21" s="97">
        <v>0.20244652421153</v>
      </c>
      <c r="K21" s="97">
        <f t="shared" si="2"/>
        <v>0.20244652421153</v>
      </c>
      <c r="L21" s="97">
        <f t="shared" si="3"/>
        <v>0</v>
      </c>
      <c r="M21" s="93"/>
      <c r="N21" s="97">
        <v>0.22627080576625</v>
      </c>
      <c r="O21" s="97">
        <f t="shared" si="4"/>
        <v>0.22627080576625</v>
      </c>
      <c r="P21" s="97">
        <f t="shared" si="5"/>
        <v>0</v>
      </c>
      <c r="Q21" s="93"/>
      <c r="R21" s="97">
        <v>0.2322130141069228</v>
      </c>
      <c r="S21" s="97">
        <f t="shared" si="6"/>
        <v>0.2322130141069228</v>
      </c>
      <c r="T21" s="97">
        <f t="shared" si="7"/>
        <v>0</v>
      </c>
      <c r="U21" s="93"/>
      <c r="V21" s="97">
        <v>0.20682064188271876</v>
      </c>
      <c r="W21" s="97">
        <f t="shared" si="8"/>
        <v>0.20682064188271876</v>
      </c>
      <c r="X21" s="97">
        <f t="shared" si="9"/>
        <v>0</v>
      </c>
      <c r="Y21" s="93"/>
      <c r="Z21" s="98"/>
      <c r="AA21" s="93"/>
      <c r="AB21" s="98"/>
      <c r="AC21" s="93"/>
      <c r="AD21" s="98"/>
      <c r="AE21" s="93"/>
      <c r="AF21" s="98"/>
      <c r="AG21" s="93"/>
      <c r="AH21" s="98"/>
      <c r="AI21" s="93"/>
      <c r="AJ21" s="98"/>
      <c r="AK21" s="93"/>
      <c r="AL21" s="98"/>
      <c r="AM21" s="93"/>
      <c r="AN21" s="98"/>
    </row>
    <row r="22" spans="1:40" s="92" customFormat="1" ht="12.75">
      <c r="A22" s="92" t="s">
        <v>284</v>
      </c>
      <c r="B22" s="92">
        <v>18</v>
      </c>
      <c r="C22" s="92" t="s">
        <v>361</v>
      </c>
      <c r="D22" s="96">
        <v>0</v>
      </c>
      <c r="E22" s="93"/>
      <c r="F22" s="97">
        <v>0.3578254417945386</v>
      </c>
      <c r="G22" s="97">
        <f t="shared" si="0"/>
        <v>0.3578254417945386</v>
      </c>
      <c r="H22" s="97">
        <f t="shared" si="1"/>
        <v>0</v>
      </c>
      <c r="I22" s="93"/>
      <c r="J22" s="97">
        <v>0.20540915627316214</v>
      </c>
      <c r="K22" s="97">
        <f t="shared" si="2"/>
        <v>0.20540915627316214</v>
      </c>
      <c r="L22" s="97">
        <f t="shared" si="3"/>
        <v>0</v>
      </c>
      <c r="M22" s="93"/>
      <c r="N22" s="97">
        <v>0.22975677056096896</v>
      </c>
      <c r="O22" s="97">
        <f t="shared" si="4"/>
        <v>0.22975677056096896</v>
      </c>
      <c r="P22" s="97">
        <f t="shared" si="5"/>
        <v>0</v>
      </c>
      <c r="Q22" s="93"/>
      <c r="R22" s="97">
        <v>0.23511273787403592</v>
      </c>
      <c r="S22" s="97">
        <f t="shared" si="6"/>
        <v>0.23511273787403592</v>
      </c>
      <c r="T22" s="97">
        <f t="shared" si="7"/>
        <v>0</v>
      </c>
      <c r="U22" s="93"/>
      <c r="V22" s="97">
        <v>0.20991207424893</v>
      </c>
      <c r="W22" s="97">
        <f t="shared" si="8"/>
        <v>0.20991207424893</v>
      </c>
      <c r="X22" s="97">
        <f t="shared" si="9"/>
        <v>0</v>
      </c>
      <c r="Y22" s="93"/>
      <c r="Z22" s="98"/>
      <c r="AA22" s="93"/>
      <c r="AB22" s="98"/>
      <c r="AC22" s="93"/>
      <c r="AD22" s="98"/>
      <c r="AE22" s="93"/>
      <c r="AF22" s="98"/>
      <c r="AG22" s="93"/>
      <c r="AH22" s="98"/>
      <c r="AI22" s="93"/>
      <c r="AJ22" s="98"/>
      <c r="AK22" s="93"/>
      <c r="AL22" s="98"/>
      <c r="AM22" s="93"/>
      <c r="AN22" s="98"/>
    </row>
    <row r="23" spans="1:40" s="92" customFormat="1" ht="12.75">
      <c r="A23" s="92" t="s">
        <v>284</v>
      </c>
      <c r="B23" s="92">
        <v>19</v>
      </c>
      <c r="C23" s="92" t="s">
        <v>362</v>
      </c>
      <c r="D23" s="96">
        <v>0.05</v>
      </c>
      <c r="E23" s="93"/>
      <c r="F23" s="97">
        <v>0.016121805619314377</v>
      </c>
      <c r="G23" s="97">
        <f t="shared" si="0"/>
        <v>0.016121805619314377</v>
      </c>
      <c r="H23" s="97">
        <f t="shared" si="1"/>
        <v>0.0008060902809657189</v>
      </c>
      <c r="I23" s="93"/>
      <c r="J23" s="97">
        <v>0.007110316947917153</v>
      </c>
      <c r="K23" s="97">
        <f t="shared" si="2"/>
        <v>0.007110316947917153</v>
      </c>
      <c r="L23" s="97">
        <f t="shared" si="3"/>
        <v>0.0003555158473958577</v>
      </c>
      <c r="M23" s="93"/>
      <c r="N23" s="97">
        <v>0.007130382534650762</v>
      </c>
      <c r="O23" s="97">
        <f t="shared" si="4"/>
        <v>0.007130382534650762</v>
      </c>
      <c r="P23" s="97">
        <f t="shared" si="5"/>
        <v>0.0003565191267325381</v>
      </c>
      <c r="Q23" s="93"/>
      <c r="R23" s="97">
        <v>0.010580073204331616</v>
      </c>
      <c r="S23" s="97">
        <f t="shared" si="6"/>
        <v>0.010580073204331616</v>
      </c>
      <c r="T23" s="97">
        <f t="shared" si="7"/>
        <v>0.0005290036602165808</v>
      </c>
      <c r="U23" s="93"/>
      <c r="V23" s="97">
        <v>0.008396482969957212</v>
      </c>
      <c r="W23" s="97">
        <f t="shared" si="8"/>
        <v>0.008396482969957212</v>
      </c>
      <c r="X23" s="97">
        <f t="shared" si="9"/>
        <v>0.0004198241484978606</v>
      </c>
      <c r="Y23" s="93"/>
      <c r="Z23" s="98"/>
      <c r="AA23" s="93"/>
      <c r="AB23" s="98"/>
      <c r="AC23" s="93"/>
      <c r="AD23" s="98"/>
      <c r="AE23" s="93"/>
      <c r="AF23" s="98"/>
      <c r="AG23" s="93"/>
      <c r="AH23" s="98"/>
      <c r="AI23" s="93"/>
      <c r="AJ23" s="98"/>
      <c r="AK23" s="93"/>
      <c r="AL23" s="98"/>
      <c r="AM23" s="93"/>
      <c r="AN23" s="98"/>
    </row>
    <row r="24" spans="1:40" s="92" customFormat="1" ht="12.75">
      <c r="A24" s="92" t="s">
        <v>284</v>
      </c>
      <c r="B24" s="92">
        <v>20</v>
      </c>
      <c r="C24" s="92" t="s">
        <v>363</v>
      </c>
      <c r="D24" s="96">
        <v>0.5</v>
      </c>
      <c r="E24" s="93"/>
      <c r="F24" s="97">
        <v>0.018087879475328326</v>
      </c>
      <c r="G24" s="97">
        <f t="shared" si="0"/>
        <v>0.018087879475328326</v>
      </c>
      <c r="H24" s="97">
        <f t="shared" si="1"/>
        <v>0.009043939737664163</v>
      </c>
      <c r="I24" s="93"/>
      <c r="J24" s="97">
        <v>0.007110316947917153</v>
      </c>
      <c r="K24" s="97">
        <f t="shared" si="2"/>
        <v>0.007110316947917153</v>
      </c>
      <c r="L24" s="97">
        <f t="shared" si="3"/>
        <v>0.0035551584739585765</v>
      </c>
      <c r="M24" s="93"/>
      <c r="N24" s="97">
        <v>0.007526514897686914</v>
      </c>
      <c r="O24" s="97">
        <f t="shared" si="4"/>
        <v>0.007526514897686914</v>
      </c>
      <c r="P24" s="97">
        <f t="shared" si="5"/>
        <v>0.003763257448843457</v>
      </c>
      <c r="Q24" s="93"/>
      <c r="R24" s="97">
        <v>0.0113637823305784</v>
      </c>
      <c r="S24" s="97">
        <f t="shared" si="6"/>
        <v>0.0113637823305784</v>
      </c>
      <c r="T24" s="97">
        <f t="shared" si="7"/>
        <v>0.0056818911652892</v>
      </c>
      <c r="U24" s="93"/>
      <c r="V24" s="97">
        <v>0.009541457920405923</v>
      </c>
      <c r="W24" s="97">
        <f t="shared" si="8"/>
        <v>0.009541457920405923</v>
      </c>
      <c r="X24" s="97">
        <f t="shared" si="9"/>
        <v>0.0047707289602029615</v>
      </c>
      <c r="Y24" s="93"/>
      <c r="Z24" s="98"/>
      <c r="AA24" s="93"/>
      <c r="AB24" s="98"/>
      <c r="AC24" s="93"/>
      <c r="AD24" s="98"/>
      <c r="AE24" s="93"/>
      <c r="AF24" s="98"/>
      <c r="AG24" s="93"/>
      <c r="AH24" s="98"/>
      <c r="AI24" s="93"/>
      <c r="AJ24" s="98"/>
      <c r="AK24" s="93"/>
      <c r="AL24" s="98"/>
      <c r="AM24" s="93"/>
      <c r="AN24" s="98"/>
    </row>
    <row r="25" spans="1:40" s="92" customFormat="1" ht="12.75">
      <c r="A25" s="92" t="s">
        <v>284</v>
      </c>
      <c r="B25" s="92">
        <v>21</v>
      </c>
      <c r="C25" s="92" t="s">
        <v>364</v>
      </c>
      <c r="D25" s="96">
        <v>0</v>
      </c>
      <c r="E25" s="93"/>
      <c r="F25" s="97">
        <v>0.319683608987868</v>
      </c>
      <c r="G25" s="97">
        <f t="shared" si="0"/>
        <v>0.319683608987868</v>
      </c>
      <c r="H25" s="97">
        <f t="shared" si="1"/>
        <v>0</v>
      </c>
      <c r="I25" s="93"/>
      <c r="J25" s="97">
        <v>0.1437864093912135</v>
      </c>
      <c r="K25" s="97">
        <f t="shared" si="2"/>
        <v>0.1437864093912135</v>
      </c>
      <c r="L25" s="97">
        <f t="shared" si="3"/>
        <v>0</v>
      </c>
      <c r="M25" s="93"/>
      <c r="N25" s="97">
        <v>0.1477573714124852</v>
      </c>
      <c r="O25" s="97">
        <f t="shared" si="4"/>
        <v>0.1477573714124852</v>
      </c>
      <c r="P25" s="97">
        <f t="shared" si="5"/>
        <v>0</v>
      </c>
      <c r="Q25" s="93"/>
      <c r="R25" s="97">
        <v>0.24059870175776343</v>
      </c>
      <c r="S25" s="97">
        <f t="shared" si="6"/>
        <v>0.24059870175776343</v>
      </c>
      <c r="T25" s="97">
        <f t="shared" si="7"/>
        <v>0</v>
      </c>
      <c r="U25" s="93"/>
      <c r="V25" s="97">
        <v>0.17670780068591765</v>
      </c>
      <c r="W25" s="97">
        <f t="shared" si="8"/>
        <v>0.17670780068591765</v>
      </c>
      <c r="X25" s="97">
        <f t="shared" si="9"/>
        <v>0</v>
      </c>
      <c r="Y25" s="93"/>
      <c r="Z25" s="98"/>
      <c r="AA25" s="93"/>
      <c r="AB25" s="98"/>
      <c r="AC25" s="93"/>
      <c r="AD25" s="98"/>
      <c r="AE25" s="93"/>
      <c r="AF25" s="98"/>
      <c r="AG25" s="93"/>
      <c r="AH25" s="98"/>
      <c r="AI25" s="93"/>
      <c r="AJ25" s="98"/>
      <c r="AK25" s="93"/>
      <c r="AL25" s="98"/>
      <c r="AM25" s="93"/>
      <c r="AN25" s="98"/>
    </row>
    <row r="26" spans="1:40" s="92" customFormat="1" ht="12.75">
      <c r="A26" s="92" t="s">
        <v>284</v>
      </c>
      <c r="B26" s="92">
        <v>22</v>
      </c>
      <c r="C26" s="92" t="s">
        <v>365</v>
      </c>
      <c r="D26" s="96">
        <v>0</v>
      </c>
      <c r="E26" s="93"/>
      <c r="F26" s="97">
        <v>0.35389329408251</v>
      </c>
      <c r="G26" s="97">
        <f t="shared" si="0"/>
        <v>0.35389329408251</v>
      </c>
      <c r="H26" s="97">
        <f t="shared" si="1"/>
        <v>0</v>
      </c>
      <c r="I26" s="93"/>
      <c r="J26" s="97">
        <v>0.15800704328704782</v>
      </c>
      <c r="K26" s="97">
        <f t="shared" si="2"/>
        <v>0.15800704328704782</v>
      </c>
      <c r="L26" s="97">
        <f t="shared" si="3"/>
        <v>0</v>
      </c>
      <c r="M26" s="93"/>
      <c r="N26" s="97">
        <v>0.16241426884482288</v>
      </c>
      <c r="O26" s="97">
        <f t="shared" si="4"/>
        <v>0.16241426884482288</v>
      </c>
      <c r="P26" s="97">
        <f t="shared" si="5"/>
        <v>0</v>
      </c>
      <c r="Q26" s="93"/>
      <c r="R26" s="97">
        <v>0.26254255729267345</v>
      </c>
      <c r="S26" s="97">
        <f t="shared" si="6"/>
        <v>0.26254255729267345</v>
      </c>
      <c r="T26" s="97">
        <f t="shared" si="7"/>
        <v>0</v>
      </c>
      <c r="U26" s="93"/>
      <c r="V26" s="97">
        <v>0.19464574157628</v>
      </c>
      <c r="W26" s="97">
        <f t="shared" si="8"/>
        <v>0.19464574157628</v>
      </c>
      <c r="X26" s="97">
        <f t="shared" si="9"/>
        <v>0</v>
      </c>
      <c r="Y26" s="93"/>
      <c r="Z26" s="98"/>
      <c r="AA26" s="93"/>
      <c r="AB26" s="98"/>
      <c r="AC26" s="93"/>
      <c r="AD26" s="98"/>
      <c r="AE26" s="93"/>
      <c r="AF26" s="98"/>
      <c r="AG26" s="93"/>
      <c r="AH26" s="98"/>
      <c r="AI26" s="93"/>
      <c r="AJ26" s="98"/>
      <c r="AK26" s="93"/>
      <c r="AL26" s="98"/>
      <c r="AM26" s="93"/>
      <c r="AN26" s="98"/>
    </row>
    <row r="27" spans="1:40" s="92" customFormat="1" ht="12.75">
      <c r="A27" s="92" t="s">
        <v>284</v>
      </c>
      <c r="B27" s="92">
        <v>23</v>
      </c>
      <c r="C27" s="92" t="s">
        <v>366</v>
      </c>
      <c r="D27" s="96">
        <v>0.1</v>
      </c>
      <c r="E27" s="93"/>
      <c r="F27" s="97">
        <v>0.037355403264265</v>
      </c>
      <c r="G27" s="97">
        <f t="shared" si="0"/>
        <v>0.037355403264265</v>
      </c>
      <c r="H27" s="97">
        <f t="shared" si="1"/>
        <v>0.0037355403264265003</v>
      </c>
      <c r="I27" s="93"/>
      <c r="J27" s="97">
        <v>0.01580070432870478</v>
      </c>
      <c r="K27" s="97">
        <f t="shared" si="2"/>
        <v>0.01580070432870478</v>
      </c>
      <c r="L27" s="97">
        <f t="shared" si="3"/>
        <v>0.0015800704328704782</v>
      </c>
      <c r="M27" s="93"/>
      <c r="N27" s="97">
        <v>0.015053029795373828</v>
      </c>
      <c r="O27" s="97">
        <f t="shared" si="4"/>
        <v>0.015053029795373828</v>
      </c>
      <c r="P27" s="97">
        <f t="shared" si="5"/>
        <v>0.0015053029795373829</v>
      </c>
      <c r="Q27" s="93"/>
      <c r="R27" s="97">
        <v>0.028997237671131</v>
      </c>
      <c r="S27" s="97">
        <f t="shared" si="6"/>
        <v>0.028997237671131</v>
      </c>
      <c r="T27" s="97">
        <f t="shared" si="7"/>
        <v>0.0028997237671131004</v>
      </c>
      <c r="U27" s="93"/>
      <c r="V27" s="97">
        <v>0.021372865741709265</v>
      </c>
      <c r="W27" s="97">
        <f t="shared" si="8"/>
        <v>0.021372865741709265</v>
      </c>
      <c r="X27" s="97">
        <f t="shared" si="9"/>
        <v>0.0021372865741709265</v>
      </c>
      <c r="Y27" s="93"/>
      <c r="Z27" s="98"/>
      <c r="AA27" s="93"/>
      <c r="AB27" s="98"/>
      <c r="AC27" s="93"/>
      <c r="AD27" s="98"/>
      <c r="AE27" s="93"/>
      <c r="AF27" s="98"/>
      <c r="AG27" s="93"/>
      <c r="AH27" s="98"/>
      <c r="AI27" s="93"/>
      <c r="AJ27" s="98"/>
      <c r="AK27" s="93"/>
      <c r="AL27" s="98"/>
      <c r="AM27" s="93"/>
      <c r="AN27" s="98"/>
    </row>
    <row r="28" spans="1:40" s="92" customFormat="1" ht="12.75">
      <c r="A28" s="92" t="s">
        <v>284</v>
      </c>
      <c r="B28" s="92">
        <v>24</v>
      </c>
      <c r="C28" s="92" t="s">
        <v>367</v>
      </c>
      <c r="D28" s="96">
        <v>0.1</v>
      </c>
      <c r="E28" s="93"/>
      <c r="F28" s="97">
        <v>0.0381418328066706</v>
      </c>
      <c r="G28" s="97">
        <f t="shared" si="0"/>
        <v>0.0381418328066706</v>
      </c>
      <c r="H28" s="97">
        <f t="shared" si="1"/>
        <v>0.00381418328066706</v>
      </c>
      <c r="I28" s="93"/>
      <c r="J28" s="97">
        <v>0.0161957219369224</v>
      </c>
      <c r="K28" s="97">
        <f t="shared" si="2"/>
        <v>0.0161957219369224</v>
      </c>
      <c r="L28" s="97">
        <f t="shared" si="3"/>
        <v>0.00161957219369224</v>
      </c>
      <c r="M28" s="93"/>
      <c r="N28" s="97">
        <v>0.01584529452144614</v>
      </c>
      <c r="O28" s="97">
        <f t="shared" si="4"/>
        <v>0.01584529452144614</v>
      </c>
      <c r="P28" s="97">
        <f t="shared" si="5"/>
        <v>0.001584529452144614</v>
      </c>
      <c r="Q28" s="93"/>
      <c r="R28" s="97">
        <v>0.03448320155485861</v>
      </c>
      <c r="S28" s="97">
        <f t="shared" si="6"/>
        <v>0.03448320155485861</v>
      </c>
      <c r="T28" s="97">
        <f t="shared" si="7"/>
        <v>0.003448320155485861</v>
      </c>
      <c r="U28" s="93"/>
      <c r="V28" s="97">
        <v>0.024044473959423</v>
      </c>
      <c r="W28" s="97">
        <f t="shared" si="8"/>
        <v>0.024044473959423</v>
      </c>
      <c r="X28" s="97">
        <f t="shared" si="9"/>
        <v>0.0024044473959423003</v>
      </c>
      <c r="Y28" s="93"/>
      <c r="Z28" s="98"/>
      <c r="AA28" s="93"/>
      <c r="AB28" s="98"/>
      <c r="AC28" s="93"/>
      <c r="AD28" s="98"/>
      <c r="AE28" s="93"/>
      <c r="AF28" s="98"/>
      <c r="AG28" s="93"/>
      <c r="AH28" s="98"/>
      <c r="AI28" s="93"/>
      <c r="AJ28" s="98"/>
      <c r="AK28" s="93"/>
      <c r="AL28" s="98"/>
      <c r="AM28" s="93"/>
      <c r="AN28" s="98"/>
    </row>
    <row r="29" spans="1:40" s="92" customFormat="1" ht="12.75">
      <c r="A29" s="92" t="s">
        <v>284</v>
      </c>
      <c r="B29" s="92">
        <v>25</v>
      </c>
      <c r="C29" s="92" t="s">
        <v>368</v>
      </c>
      <c r="D29" s="96">
        <v>0.1</v>
      </c>
      <c r="E29" s="93"/>
      <c r="F29" s="97">
        <v>0.007077865881650214</v>
      </c>
      <c r="G29" s="97">
        <f t="shared" si="0"/>
        <v>0.007077865881650214</v>
      </c>
      <c r="H29" s="97">
        <f t="shared" si="1"/>
        <v>0.0007077865881650214</v>
      </c>
      <c r="I29" s="93"/>
      <c r="J29" s="97">
        <v>0.0036736637564238617</v>
      </c>
      <c r="K29" s="97">
        <f t="shared" si="2"/>
        <v>0.0036736637564238617</v>
      </c>
      <c r="L29" s="97">
        <f t="shared" si="3"/>
        <v>0.00036736637564238617</v>
      </c>
      <c r="M29" s="93"/>
      <c r="N29" s="97">
        <v>0.0030106059590747653</v>
      </c>
      <c r="O29" s="97">
        <f t="shared" si="4"/>
        <v>0.0030106059590747653</v>
      </c>
      <c r="P29" s="97">
        <f t="shared" si="5"/>
        <v>0.00030106059590747654</v>
      </c>
      <c r="Q29" s="93"/>
      <c r="R29" s="97">
        <v>0.00744523669934447</v>
      </c>
      <c r="S29" s="97">
        <f t="shared" si="6"/>
        <v>0.00744523669934447</v>
      </c>
      <c r="T29" s="97">
        <f t="shared" si="7"/>
        <v>0.0007445236699344471</v>
      </c>
      <c r="U29" s="93"/>
      <c r="V29" s="97">
        <v>0.004961558118611078</v>
      </c>
      <c r="W29" s="97">
        <f t="shared" si="8"/>
        <v>0.004961558118611078</v>
      </c>
      <c r="X29" s="97">
        <f t="shared" si="9"/>
        <v>0.0004961558118611078</v>
      </c>
      <c r="Y29" s="93"/>
      <c r="Z29" s="98"/>
      <c r="AA29" s="93"/>
      <c r="AB29" s="98"/>
      <c r="AC29" s="93"/>
      <c r="AD29" s="98"/>
      <c r="AE29" s="93"/>
      <c r="AF29" s="98"/>
      <c r="AG29" s="93"/>
      <c r="AH29" s="98"/>
      <c r="AI29" s="93"/>
      <c r="AJ29" s="98"/>
      <c r="AK29" s="93"/>
      <c r="AL29" s="98"/>
      <c r="AM29" s="93"/>
      <c r="AN29" s="98"/>
    </row>
    <row r="30" spans="1:40" s="92" customFormat="1" ht="12.75">
      <c r="A30" s="92" t="s">
        <v>284</v>
      </c>
      <c r="B30" s="92">
        <v>26</v>
      </c>
      <c r="C30" s="92" t="s">
        <v>369</v>
      </c>
      <c r="D30" s="96">
        <v>0.1</v>
      </c>
      <c r="E30" s="93"/>
      <c r="F30" s="97">
        <v>0.03578254417945386</v>
      </c>
      <c r="G30" s="97">
        <f t="shared" si="0"/>
        <v>0.03578254417945386</v>
      </c>
      <c r="H30" s="97">
        <f t="shared" si="1"/>
        <v>0.003578254417945386</v>
      </c>
      <c r="I30" s="93"/>
      <c r="J30" s="97">
        <v>0.015010669112269542</v>
      </c>
      <c r="K30" s="97">
        <f t="shared" si="2"/>
        <v>0.015010669112269542</v>
      </c>
      <c r="L30" s="97">
        <f t="shared" si="3"/>
        <v>0.0015010669112269543</v>
      </c>
      <c r="M30" s="93"/>
      <c r="N30" s="97">
        <v>0.013864632706265367</v>
      </c>
      <c r="O30" s="97">
        <f t="shared" si="4"/>
        <v>0.013864632706265367</v>
      </c>
      <c r="P30" s="97">
        <f t="shared" si="5"/>
        <v>0.001386463270626537</v>
      </c>
      <c r="Q30" s="93"/>
      <c r="R30" s="97">
        <v>0.04310400194357326</v>
      </c>
      <c r="S30" s="97">
        <f t="shared" si="6"/>
        <v>0.04310400194357326</v>
      </c>
      <c r="T30" s="97">
        <f t="shared" si="7"/>
        <v>0.004310400194357326</v>
      </c>
      <c r="U30" s="93"/>
      <c r="V30" s="97">
        <v>0.030532665345299</v>
      </c>
      <c r="W30" s="97">
        <f t="shared" si="8"/>
        <v>0.030532665345299</v>
      </c>
      <c r="X30" s="97">
        <f t="shared" si="9"/>
        <v>0.0030532665345299</v>
      </c>
      <c r="Y30" s="93"/>
      <c r="Z30" s="98"/>
      <c r="AA30" s="93"/>
      <c r="AB30" s="98"/>
      <c r="AC30" s="93"/>
      <c r="AD30" s="98"/>
      <c r="AE30" s="93"/>
      <c r="AF30" s="98"/>
      <c r="AG30" s="93"/>
      <c r="AH30" s="98"/>
      <c r="AI30" s="93"/>
      <c r="AJ30" s="98"/>
      <c r="AK30" s="93"/>
      <c r="AL30" s="98"/>
      <c r="AM30" s="93"/>
      <c r="AN30" s="98"/>
    </row>
    <row r="31" spans="1:40" s="92" customFormat="1" ht="12.75">
      <c r="A31" s="92" t="s">
        <v>284</v>
      </c>
      <c r="B31" s="92">
        <v>27</v>
      </c>
      <c r="C31" s="92" t="s">
        <v>370</v>
      </c>
      <c r="D31" s="96">
        <v>0</v>
      </c>
      <c r="E31" s="93"/>
      <c r="F31" s="97">
        <v>0.24733209108655474</v>
      </c>
      <c r="G31" s="97">
        <f t="shared" si="0"/>
        <v>0.24733209108655474</v>
      </c>
      <c r="H31" s="97">
        <f t="shared" si="1"/>
        <v>0</v>
      </c>
      <c r="I31" s="93"/>
      <c r="J31" s="97">
        <v>0.11522663631708</v>
      </c>
      <c r="K31" s="97">
        <f t="shared" si="2"/>
        <v>0.11522663631708</v>
      </c>
      <c r="L31" s="97">
        <f t="shared" si="3"/>
        <v>0</v>
      </c>
      <c r="M31" s="93"/>
      <c r="N31" s="97">
        <v>0.11067938223230127</v>
      </c>
      <c r="O31" s="97">
        <f t="shared" si="4"/>
        <v>0.11067938223230127</v>
      </c>
      <c r="P31" s="97">
        <f t="shared" si="5"/>
        <v>0</v>
      </c>
      <c r="Q31" s="93"/>
      <c r="R31" s="97">
        <v>0.24255797457338</v>
      </c>
      <c r="S31" s="97">
        <f t="shared" si="6"/>
        <v>0.24255797457338</v>
      </c>
      <c r="T31" s="97">
        <f t="shared" si="7"/>
        <v>0</v>
      </c>
      <c r="U31" s="93"/>
      <c r="V31" s="97">
        <v>0.15953317642918702</v>
      </c>
      <c r="W31" s="97">
        <f t="shared" si="8"/>
        <v>0.15953317642918702</v>
      </c>
      <c r="X31" s="97">
        <f t="shared" si="9"/>
        <v>0</v>
      </c>
      <c r="Y31" s="93"/>
      <c r="Z31" s="98"/>
      <c r="AA31" s="93"/>
      <c r="AB31" s="98"/>
      <c r="AC31" s="93"/>
      <c r="AD31" s="98"/>
      <c r="AE31" s="93"/>
      <c r="AF31" s="98"/>
      <c r="AG31" s="93"/>
      <c r="AH31" s="98"/>
      <c r="AI31" s="93"/>
      <c r="AJ31" s="98"/>
      <c r="AK31" s="93"/>
      <c r="AL31" s="98"/>
      <c r="AM31" s="93"/>
      <c r="AN31" s="98"/>
    </row>
    <row r="32" spans="1:40" s="92" customFormat="1" ht="12.75">
      <c r="A32" s="92" t="s">
        <v>284</v>
      </c>
      <c r="B32" s="92">
        <v>28</v>
      </c>
      <c r="C32" s="92" t="s">
        <v>371</v>
      </c>
      <c r="D32" s="96">
        <v>0</v>
      </c>
      <c r="E32" s="93"/>
      <c r="F32" s="97">
        <v>0.36568973721859444</v>
      </c>
      <c r="G32" s="97">
        <f t="shared" si="0"/>
        <v>0.36568973721859444</v>
      </c>
      <c r="H32" s="97">
        <f t="shared" si="1"/>
        <v>0</v>
      </c>
      <c r="I32" s="93"/>
      <c r="J32" s="97">
        <v>0.1659073954514</v>
      </c>
      <c r="K32" s="97">
        <f t="shared" si="2"/>
        <v>0.1659073954514</v>
      </c>
      <c r="L32" s="97">
        <f t="shared" si="3"/>
        <v>0</v>
      </c>
      <c r="M32" s="93"/>
      <c r="N32" s="97">
        <v>0.15845294521446138</v>
      </c>
      <c r="O32" s="97">
        <f t="shared" si="4"/>
        <v>0.15845294521446138</v>
      </c>
      <c r="P32" s="97">
        <f t="shared" si="5"/>
        <v>0</v>
      </c>
      <c r="Q32" s="93"/>
      <c r="R32" s="97">
        <v>0.3565876524422878</v>
      </c>
      <c r="S32" s="97">
        <f t="shared" si="6"/>
        <v>0.3565876524422878</v>
      </c>
      <c r="T32" s="97">
        <f t="shared" si="7"/>
        <v>0</v>
      </c>
      <c r="U32" s="93"/>
      <c r="V32" s="97">
        <v>0.24044473959423</v>
      </c>
      <c r="W32" s="97">
        <f t="shared" si="8"/>
        <v>0.24044473959423</v>
      </c>
      <c r="X32" s="97">
        <f t="shared" si="9"/>
        <v>0</v>
      </c>
      <c r="Y32" s="93"/>
      <c r="Z32" s="98"/>
      <c r="AA32" s="93"/>
      <c r="AB32" s="98"/>
      <c r="AC32" s="93"/>
      <c r="AD32" s="98"/>
      <c r="AE32" s="93"/>
      <c r="AF32" s="98"/>
      <c r="AG32" s="93"/>
      <c r="AH32" s="98"/>
      <c r="AI32" s="93"/>
      <c r="AJ32" s="98"/>
      <c r="AK32" s="93"/>
      <c r="AL32" s="98"/>
      <c r="AM32" s="93"/>
      <c r="AN32" s="98"/>
    </row>
    <row r="33" spans="1:40" s="92" customFormat="1" ht="12.75">
      <c r="A33" s="92" t="s">
        <v>284</v>
      </c>
      <c r="B33" s="92">
        <v>29</v>
      </c>
      <c r="C33" s="92" t="s">
        <v>372</v>
      </c>
      <c r="D33" s="96">
        <v>0.01</v>
      </c>
      <c r="E33" s="93"/>
      <c r="F33" s="97">
        <v>0.2319967150096459</v>
      </c>
      <c r="G33" s="97">
        <f t="shared" si="0"/>
        <v>0.2319967150096459</v>
      </c>
      <c r="H33" s="97">
        <f t="shared" si="1"/>
        <v>0.0023199671500964587</v>
      </c>
      <c r="I33" s="93"/>
      <c r="J33" s="97">
        <v>0.11850528246528583</v>
      </c>
      <c r="K33" s="97">
        <f t="shared" si="2"/>
        <v>0.11850528246528583</v>
      </c>
      <c r="L33" s="97">
        <f t="shared" si="3"/>
        <v>0.0011850528246528584</v>
      </c>
      <c r="M33" s="93"/>
      <c r="N33" s="97">
        <v>0.10695573801976142</v>
      </c>
      <c r="O33" s="97">
        <f t="shared" si="4"/>
        <v>0.10695573801976142</v>
      </c>
      <c r="P33" s="97">
        <f t="shared" si="5"/>
        <v>0.0010695573801976143</v>
      </c>
      <c r="Q33" s="93"/>
      <c r="R33" s="97">
        <v>0.28213528544884314</v>
      </c>
      <c r="S33" s="97">
        <f t="shared" si="6"/>
        <v>0.28213528544884314</v>
      </c>
      <c r="T33" s="97">
        <f t="shared" si="7"/>
        <v>0.0028213528544884315</v>
      </c>
      <c r="U33" s="93"/>
      <c r="V33" s="97">
        <v>0.21372865741709263</v>
      </c>
      <c r="W33" s="97">
        <f t="shared" si="8"/>
        <v>0.21372865741709263</v>
      </c>
      <c r="X33" s="97">
        <f t="shared" si="9"/>
        <v>0.0021372865741709265</v>
      </c>
      <c r="Y33" s="93"/>
      <c r="Z33" s="98"/>
      <c r="AA33" s="93"/>
      <c r="AB33" s="98"/>
      <c r="AC33" s="93"/>
      <c r="AD33" s="98"/>
      <c r="AE33" s="93"/>
      <c r="AF33" s="98"/>
      <c r="AG33" s="93"/>
      <c r="AH33" s="98"/>
      <c r="AI33" s="93"/>
      <c r="AJ33" s="98"/>
      <c r="AK33" s="93"/>
      <c r="AL33" s="98"/>
      <c r="AM33" s="93"/>
      <c r="AN33" s="98"/>
    </row>
    <row r="34" spans="1:40" s="92" customFormat="1" ht="12.75">
      <c r="A34" s="92" t="s">
        <v>284</v>
      </c>
      <c r="B34" s="92">
        <v>30</v>
      </c>
      <c r="C34" s="92" t="s">
        <v>373</v>
      </c>
      <c r="D34" s="96">
        <v>0.01</v>
      </c>
      <c r="E34" s="93"/>
      <c r="F34" s="97">
        <v>0.01848109424653111</v>
      </c>
      <c r="G34" s="97">
        <f t="shared" si="0"/>
        <v>0.01848109424653111</v>
      </c>
      <c r="H34" s="97">
        <f t="shared" si="1"/>
        <v>0.00018481094246531113</v>
      </c>
      <c r="I34" s="93"/>
      <c r="J34" s="97">
        <v>0.00908540498900525</v>
      </c>
      <c r="K34" s="97">
        <f t="shared" si="2"/>
        <v>0.00908540498900525</v>
      </c>
      <c r="L34" s="97">
        <f t="shared" si="3"/>
        <v>9.085404989005249E-05</v>
      </c>
      <c r="M34" s="93"/>
      <c r="N34" s="97">
        <v>0.009111044349831529</v>
      </c>
      <c r="O34" s="97">
        <f t="shared" si="4"/>
        <v>0.009111044349831529</v>
      </c>
      <c r="P34" s="97">
        <f t="shared" si="5"/>
        <v>9.111044349831529E-05</v>
      </c>
      <c r="Q34" s="93"/>
      <c r="R34" s="97">
        <v>0.023511273787403596</v>
      </c>
      <c r="S34" s="97">
        <f t="shared" si="6"/>
        <v>0.023511273787403596</v>
      </c>
      <c r="T34" s="97">
        <f t="shared" si="7"/>
        <v>0.00023511273787403598</v>
      </c>
      <c r="U34" s="93"/>
      <c r="V34" s="97">
        <v>0.016411307623098184</v>
      </c>
      <c r="W34" s="97">
        <f t="shared" si="8"/>
        <v>0.016411307623098184</v>
      </c>
      <c r="X34" s="97">
        <f t="shared" si="9"/>
        <v>0.00016411307623098183</v>
      </c>
      <c r="Y34" s="93"/>
      <c r="Z34" s="98"/>
      <c r="AA34" s="93"/>
      <c r="AB34" s="98"/>
      <c r="AC34" s="93"/>
      <c r="AD34" s="98"/>
      <c r="AE34" s="93"/>
      <c r="AF34" s="98"/>
      <c r="AG34" s="93"/>
      <c r="AH34" s="98"/>
      <c r="AI34" s="93"/>
      <c r="AJ34" s="98"/>
      <c r="AK34" s="93"/>
      <c r="AL34" s="98"/>
      <c r="AM34" s="93"/>
      <c r="AN34" s="98"/>
    </row>
    <row r="35" spans="1:40" s="92" customFormat="1" ht="12.75">
      <c r="A35" s="92" t="s">
        <v>284</v>
      </c>
      <c r="B35" s="92">
        <v>31</v>
      </c>
      <c r="C35" s="92" t="s">
        <v>374</v>
      </c>
      <c r="D35" s="96">
        <v>0</v>
      </c>
      <c r="E35" s="93"/>
      <c r="F35" s="97">
        <v>0.052297564569971</v>
      </c>
      <c r="G35" s="97">
        <f t="shared" si="0"/>
        <v>0.052297564569971</v>
      </c>
      <c r="H35" s="97">
        <f t="shared" si="1"/>
        <v>0</v>
      </c>
      <c r="I35" s="93"/>
      <c r="J35" s="97">
        <v>0.03041635583275673</v>
      </c>
      <c r="K35" s="97">
        <f t="shared" si="2"/>
        <v>0.03041635583275673</v>
      </c>
      <c r="L35" s="97">
        <f t="shared" si="3"/>
        <v>0</v>
      </c>
      <c r="M35" s="93"/>
      <c r="N35" s="97">
        <v>0.04634748647523</v>
      </c>
      <c r="O35" s="97">
        <f t="shared" si="4"/>
        <v>0.04634748647523</v>
      </c>
      <c r="P35" s="97">
        <f t="shared" si="5"/>
        <v>0</v>
      </c>
      <c r="Q35" s="93"/>
      <c r="R35" s="97">
        <v>0.12539346019948583</v>
      </c>
      <c r="S35" s="97">
        <f t="shared" si="6"/>
        <v>0.12539346019948583</v>
      </c>
      <c r="T35" s="97">
        <f t="shared" si="7"/>
        <v>0</v>
      </c>
      <c r="U35" s="93"/>
      <c r="V35" s="97">
        <v>0.08281985474912334</v>
      </c>
      <c r="W35" s="97">
        <f t="shared" si="8"/>
        <v>0.08281985474912334</v>
      </c>
      <c r="X35" s="97">
        <f t="shared" si="9"/>
        <v>0</v>
      </c>
      <c r="Y35" s="93"/>
      <c r="Z35" s="98"/>
      <c r="AA35" s="93"/>
      <c r="AB35" s="98"/>
      <c r="AC35" s="93"/>
      <c r="AD35" s="98"/>
      <c r="AE35" s="93"/>
      <c r="AF35" s="98"/>
      <c r="AG35" s="93"/>
      <c r="AH35" s="98"/>
      <c r="AI35" s="93"/>
      <c r="AJ35" s="98"/>
      <c r="AK35" s="93"/>
      <c r="AL35" s="98"/>
      <c r="AM35" s="93"/>
      <c r="AN35" s="98"/>
    </row>
    <row r="36" spans="1:40" s="92" customFormat="1" ht="12.75">
      <c r="A36" s="92" t="s">
        <v>284</v>
      </c>
      <c r="B36" s="92">
        <v>32</v>
      </c>
      <c r="C36" s="92" t="s">
        <v>375</v>
      </c>
      <c r="D36" s="96">
        <v>0</v>
      </c>
      <c r="E36" s="93"/>
      <c r="F36" s="97">
        <v>0.30277537382614805</v>
      </c>
      <c r="G36" s="97">
        <f t="shared" si="0"/>
        <v>0.30277537382614805</v>
      </c>
      <c r="H36" s="97">
        <f t="shared" si="1"/>
        <v>0</v>
      </c>
      <c r="I36" s="93"/>
      <c r="J36" s="97">
        <v>0.15800704328704782</v>
      </c>
      <c r="K36" s="97">
        <f t="shared" si="2"/>
        <v>0.15800704328704782</v>
      </c>
      <c r="L36" s="97">
        <f t="shared" si="3"/>
        <v>0</v>
      </c>
      <c r="M36" s="93"/>
      <c r="N36" s="97">
        <v>0.16241426884482288</v>
      </c>
      <c r="O36" s="97">
        <f t="shared" si="4"/>
        <v>0.16241426884482288</v>
      </c>
      <c r="P36" s="97">
        <f t="shared" si="5"/>
        <v>0</v>
      </c>
      <c r="Q36" s="93"/>
      <c r="R36" s="97">
        <v>0.43104001943573256</v>
      </c>
      <c r="S36" s="97">
        <f t="shared" si="6"/>
        <v>0.43104001943573256</v>
      </c>
      <c r="T36" s="97">
        <f t="shared" si="7"/>
        <v>0</v>
      </c>
      <c r="U36" s="93"/>
      <c r="V36" s="97">
        <v>0.31295981978931414</v>
      </c>
      <c r="W36" s="97">
        <f t="shared" si="8"/>
        <v>0.31295981978931414</v>
      </c>
      <c r="X36" s="97">
        <f t="shared" si="9"/>
        <v>0</v>
      </c>
      <c r="Y36" s="93"/>
      <c r="Z36" s="98"/>
      <c r="AA36" s="93"/>
      <c r="AB36" s="98"/>
      <c r="AC36" s="93"/>
      <c r="AD36" s="98"/>
      <c r="AE36" s="93"/>
      <c r="AF36" s="98"/>
      <c r="AG36" s="93"/>
      <c r="AH36" s="98"/>
      <c r="AI36" s="93"/>
      <c r="AJ36" s="98"/>
      <c r="AK36" s="93"/>
      <c r="AL36" s="98"/>
      <c r="AM36" s="93"/>
      <c r="AN36" s="98"/>
    </row>
    <row r="37" spans="1:40" s="92" customFormat="1" ht="12.75">
      <c r="A37" s="92" t="s">
        <v>284</v>
      </c>
      <c r="B37" s="92">
        <v>33</v>
      </c>
      <c r="C37" s="92" t="s">
        <v>376</v>
      </c>
      <c r="D37" s="96">
        <v>0.001</v>
      </c>
      <c r="E37" s="93"/>
      <c r="F37" s="97">
        <v>0.09830369280069741</v>
      </c>
      <c r="G37" s="97">
        <f t="shared" si="0"/>
        <v>0.09830369280069741</v>
      </c>
      <c r="H37" s="97">
        <f t="shared" si="1"/>
        <v>9.830369280069741E-05</v>
      </c>
      <c r="I37" s="93"/>
      <c r="J37" s="97">
        <v>0.055302465150466724</v>
      </c>
      <c r="K37" s="97">
        <f t="shared" si="2"/>
        <v>0.055302465150466724</v>
      </c>
      <c r="L37" s="97">
        <f t="shared" si="3"/>
        <v>5.530246515046673E-05</v>
      </c>
      <c r="M37" s="93"/>
      <c r="N37" s="97">
        <v>0.0514972071947</v>
      </c>
      <c r="O37" s="97">
        <f t="shared" si="4"/>
        <v>0.0514972071947</v>
      </c>
      <c r="P37" s="97">
        <f t="shared" si="5"/>
        <v>5.14972071947E-05</v>
      </c>
      <c r="Q37" s="93"/>
      <c r="R37" s="97">
        <v>0.18025309903676</v>
      </c>
      <c r="S37" s="97">
        <f t="shared" si="6"/>
        <v>0.18025309903676</v>
      </c>
      <c r="T37" s="97">
        <f t="shared" si="7"/>
        <v>0.00018025309903676</v>
      </c>
      <c r="U37" s="93"/>
      <c r="V37" s="97">
        <v>0.12976382771752</v>
      </c>
      <c r="W37" s="97">
        <f t="shared" si="8"/>
        <v>0.12976382771752</v>
      </c>
      <c r="X37" s="97">
        <f t="shared" si="9"/>
        <v>0.00012976382771751998</v>
      </c>
      <c r="Y37" s="93"/>
      <c r="Z37" s="98"/>
      <c r="AA37" s="93"/>
      <c r="AB37" s="98"/>
      <c r="AC37" s="93"/>
      <c r="AD37" s="98"/>
      <c r="AE37" s="93"/>
      <c r="AF37" s="98"/>
      <c r="AG37" s="93"/>
      <c r="AH37" s="98"/>
      <c r="AI37" s="93"/>
      <c r="AJ37" s="98"/>
      <c r="AK37" s="93"/>
      <c r="AL37" s="98"/>
      <c r="AM37" s="93"/>
      <c r="AN37" s="98"/>
    </row>
    <row r="38" spans="1:40" s="92" customFormat="1" ht="12.75">
      <c r="A38" s="92" t="s">
        <v>284</v>
      </c>
      <c r="B38" s="92">
        <v>34</v>
      </c>
      <c r="C38" s="92" t="s">
        <v>377</v>
      </c>
      <c r="D38" s="96"/>
      <c r="E38" s="93"/>
      <c r="F38" s="97">
        <v>1.75767002727647</v>
      </c>
      <c r="G38" s="97">
        <f>SUM(G37,G36,G32,G26,G22,G19,G18,G15,G10,G7)</f>
        <v>1.7576700272764691</v>
      </c>
      <c r="H38" s="97"/>
      <c r="I38" s="93"/>
      <c r="J38" s="97">
        <v>0.9879390381522665</v>
      </c>
      <c r="K38" s="97">
        <f>SUM(K37,K36,K32,K26,K22,K19,K18,K15,K10,K7)</f>
        <v>0.9879390381522667</v>
      </c>
      <c r="L38" s="97"/>
      <c r="M38" s="93"/>
      <c r="N38" s="97">
        <v>0.91546189097655</v>
      </c>
      <c r="O38" s="97">
        <f>SUM(O37,O36,O32,O26,O22,O19,O18,O15,O10,O7)</f>
        <v>0.9154618909765507</v>
      </c>
      <c r="P38" s="97"/>
      <c r="Q38" s="93"/>
      <c r="R38" s="97">
        <v>1.6657737478375445</v>
      </c>
      <c r="S38" s="97">
        <f>SUM(S37,S36,S32,S26,S22,S19,S18,S15,S10,S7)</f>
        <v>1.6657737478375436</v>
      </c>
      <c r="T38" s="97"/>
      <c r="U38" s="93"/>
      <c r="V38" s="97">
        <v>1.2735938032157823</v>
      </c>
      <c r="W38" s="97">
        <f>SUM(W37,W36,W32,W26,W22,W19,W18,W15,W10,W7)</f>
        <v>1.2735938032157812</v>
      </c>
      <c r="X38" s="97"/>
      <c r="Y38" s="93"/>
      <c r="Z38" s="98"/>
      <c r="AA38" s="93"/>
      <c r="AB38" s="98"/>
      <c r="AC38" s="93"/>
      <c r="AD38" s="98"/>
      <c r="AE38" s="93"/>
      <c r="AF38" s="98"/>
      <c r="AG38" s="93"/>
      <c r="AH38" s="98"/>
      <c r="AI38" s="93"/>
      <c r="AJ38" s="98"/>
      <c r="AK38" s="93"/>
      <c r="AL38" s="98"/>
      <c r="AM38" s="93"/>
      <c r="AN38" s="98"/>
    </row>
    <row r="39" spans="1:40" s="92" customFormat="1" ht="12.75">
      <c r="A39" s="92" t="s">
        <v>284</v>
      </c>
      <c r="B39" s="92">
        <v>35</v>
      </c>
      <c r="C39" s="92" t="s">
        <v>27</v>
      </c>
      <c r="D39" s="96"/>
      <c r="E39" s="94">
        <f>(F39-H39)*2/F39*100</f>
        <v>4.499735309687668</v>
      </c>
      <c r="F39" s="97">
        <v>0.02971130811208279</v>
      </c>
      <c r="G39" s="97"/>
      <c r="H39" s="97">
        <f>SUM(H5:H37)</f>
        <v>0.029042843001038047</v>
      </c>
      <c r="I39" s="94">
        <f>(J39-L39)*2/J39*100</f>
        <v>15.892420537897292</v>
      </c>
      <c r="J39" s="97">
        <v>0.012924976140880512</v>
      </c>
      <c r="K39" s="97"/>
      <c r="L39" s="97">
        <f>SUM(L5:L37)</f>
        <v>0.011897930359514702</v>
      </c>
      <c r="M39" s="94">
        <f>(N39-P39)*2/N39*100</f>
        <v>15.537346359911803</v>
      </c>
      <c r="N39" s="97">
        <v>0.01256927987913715</v>
      </c>
      <c r="O39" s="97"/>
      <c r="P39" s="97">
        <f>SUM(P5:P37)</f>
        <v>0.011592813604253028</v>
      </c>
      <c r="Q39" s="94">
        <f>(R39-T39)*2/R39*100</f>
        <v>7.669223074358246</v>
      </c>
      <c r="R39" s="97">
        <v>0.023503436696141126</v>
      </c>
      <c r="S39" s="97"/>
      <c r="T39" s="97">
        <f>SUM(T5:T37)</f>
        <v>0.022602171200957307</v>
      </c>
      <c r="U39" s="94">
        <f>(V39-X39)*2/V39*100</f>
        <v>11.365528726061264</v>
      </c>
      <c r="V39" s="97">
        <v>0.018334865539852</v>
      </c>
      <c r="W39" s="97"/>
      <c r="X39" s="97">
        <f>SUM(X5:X37)</f>
        <v>0.017292938334943705</v>
      </c>
      <c r="Y39" s="93"/>
      <c r="Z39" s="98"/>
      <c r="AA39" s="93"/>
      <c r="AB39" s="98"/>
      <c r="AC39" s="93"/>
      <c r="AD39" s="98"/>
      <c r="AE39" s="93"/>
      <c r="AF39" s="98"/>
      <c r="AG39" s="93"/>
      <c r="AH39" s="98"/>
      <c r="AI39" s="93"/>
      <c r="AJ39" s="98"/>
      <c r="AK39" s="93"/>
      <c r="AL39" s="98"/>
      <c r="AM39" s="93"/>
      <c r="AN39" s="98"/>
    </row>
  </sheetData>
  <printOptions headings="1" horizontalCentered="1"/>
  <pageMargins left="0.25" right="0.25" top="0.5" bottom="0.5" header="0.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I12"/>
  <sheetViews>
    <sheetView workbookViewId="0" topLeftCell="A1">
      <selection activeCell="B2" sqref="B2"/>
    </sheetView>
  </sheetViews>
  <sheetFormatPr defaultColWidth="9.140625" defaultRowHeight="12.75"/>
  <cols>
    <col min="1" max="1" width="2.57421875" style="0" customWidth="1"/>
    <col min="2" max="2" width="3.8515625" style="0" customWidth="1"/>
    <col min="3" max="3" width="10.421875" style="0" customWidth="1"/>
    <col min="4" max="4" width="2.00390625" style="0" customWidth="1"/>
    <col min="5" max="5" width="5.57421875" style="0" bestFit="1" customWidth="1"/>
    <col min="6" max="6" width="1.8515625" style="0" customWidth="1"/>
    <col min="7" max="7" width="5.57421875" style="0" bestFit="1" customWidth="1"/>
    <col min="8" max="8" width="2.140625" style="0" customWidth="1"/>
    <col min="9" max="9" width="5.57421875" style="0" bestFit="1" customWidth="1"/>
    <col min="10" max="10" width="2.28125" style="0" customWidth="1"/>
    <col min="11" max="11" width="5.57421875" style="0" bestFit="1" customWidth="1"/>
    <col min="12" max="12" width="2.421875" style="0" customWidth="1"/>
    <col min="13" max="13" width="5.57421875" style="0" bestFit="1" customWidth="1"/>
    <col min="14" max="14" width="2.28125" style="0" customWidth="1"/>
    <col min="15" max="15" width="5.57421875" style="0" bestFit="1" customWidth="1"/>
    <col min="16" max="16" width="2.28125" style="0" customWidth="1"/>
    <col min="17" max="17" width="5.57421875" style="0" bestFit="1" customWidth="1"/>
    <col min="18" max="18" width="2.00390625" style="0" customWidth="1"/>
    <col min="19" max="19" width="5.57421875" style="0" bestFit="1" customWidth="1"/>
    <col min="20" max="20" width="2.57421875" style="0" customWidth="1"/>
    <col min="21" max="21" width="7.57421875" style="0" bestFit="1" customWidth="1"/>
    <col min="22" max="22" width="2.8515625" style="0" customWidth="1"/>
    <col min="23" max="23" width="7.57421875" style="0" bestFit="1" customWidth="1"/>
    <col min="24" max="24" width="2.421875" style="0" customWidth="1"/>
    <col min="25" max="25" width="7.57421875" style="0" bestFit="1" customWidth="1"/>
  </cols>
  <sheetData>
    <row r="1" ht="12.75">
      <c r="C1" s="6" t="s">
        <v>286</v>
      </c>
    </row>
    <row r="3" ht="12.75">
      <c r="C3" t="s">
        <v>67</v>
      </c>
    </row>
    <row r="5" spans="3:25" ht="12.75">
      <c r="C5" s="6"/>
      <c r="E5" s="50" t="s">
        <v>316</v>
      </c>
      <c r="F5" s="50"/>
      <c r="G5" s="50" t="s">
        <v>317</v>
      </c>
      <c r="H5" s="50"/>
      <c r="I5" s="50" t="s">
        <v>318</v>
      </c>
      <c r="J5" s="50"/>
      <c r="K5" s="50" t="s">
        <v>319</v>
      </c>
      <c r="L5" s="50"/>
      <c r="M5" s="50" t="s">
        <v>320</v>
      </c>
      <c r="N5" s="50"/>
      <c r="O5" s="50" t="s">
        <v>321</v>
      </c>
      <c r="P5" s="50"/>
      <c r="Q5" s="50" t="s">
        <v>322</v>
      </c>
      <c r="R5" s="50"/>
      <c r="S5" s="50" t="s">
        <v>323</v>
      </c>
      <c r="T5" s="50"/>
      <c r="U5" s="50" t="s">
        <v>378</v>
      </c>
      <c r="V5" s="50"/>
      <c r="W5" s="50" t="s">
        <v>379</v>
      </c>
      <c r="X5" s="50"/>
      <c r="Y5" s="50" t="s">
        <v>380</v>
      </c>
    </row>
    <row r="7" spans="1:35" s="92" customFormat="1" ht="12.75">
      <c r="A7" s="92" t="s">
        <v>286</v>
      </c>
      <c r="B7" s="92">
        <v>35</v>
      </c>
      <c r="C7" s="92" t="s">
        <v>27</v>
      </c>
      <c r="D7" s="93"/>
      <c r="E7" s="97">
        <v>0.017</v>
      </c>
      <c r="F7" s="93"/>
      <c r="G7" s="97">
        <v>0.01</v>
      </c>
      <c r="H7" s="93"/>
      <c r="I7" s="97">
        <v>0.016</v>
      </c>
      <c r="J7" s="93"/>
      <c r="K7" s="97">
        <v>0.017</v>
      </c>
      <c r="L7" s="93"/>
      <c r="M7" s="97">
        <v>0.018</v>
      </c>
      <c r="N7" s="93"/>
      <c r="O7" s="97">
        <v>0.021</v>
      </c>
      <c r="P7" s="93"/>
      <c r="Q7" s="97">
        <v>0.021</v>
      </c>
      <c r="R7" s="93"/>
      <c r="S7" s="97"/>
      <c r="T7" s="93"/>
      <c r="U7" s="98"/>
      <c r="V7" s="93"/>
      <c r="W7" s="98"/>
      <c r="X7" s="93"/>
      <c r="Y7" s="98"/>
      <c r="Z7" s="93"/>
      <c r="AA7" s="98"/>
      <c r="AB7" s="93"/>
      <c r="AC7" s="98"/>
      <c r="AD7" s="93"/>
      <c r="AE7" s="98"/>
      <c r="AF7" s="93"/>
      <c r="AG7" s="98"/>
      <c r="AH7" s="93"/>
      <c r="AI7" s="98"/>
    </row>
    <row r="8" spans="4:35" s="92" customFormat="1" ht="12.75">
      <c r="D8" s="93"/>
      <c r="E8" s="97"/>
      <c r="F8" s="93"/>
      <c r="G8" s="97"/>
      <c r="H8" s="93"/>
      <c r="I8" s="97"/>
      <c r="J8" s="93"/>
      <c r="K8" s="97"/>
      <c r="L8" s="93"/>
      <c r="M8" s="97"/>
      <c r="N8" s="93"/>
      <c r="O8" s="97"/>
      <c r="P8" s="93"/>
      <c r="Q8" s="97"/>
      <c r="R8" s="93"/>
      <c r="S8" s="97"/>
      <c r="T8" s="93"/>
      <c r="U8" s="98"/>
      <c r="V8" s="93"/>
      <c r="W8" s="98"/>
      <c r="X8" s="93"/>
      <c r="Y8" s="98"/>
      <c r="Z8" s="93"/>
      <c r="AA8" s="98"/>
      <c r="AB8" s="93"/>
      <c r="AC8" s="98"/>
      <c r="AD8" s="93"/>
      <c r="AE8" s="98"/>
      <c r="AF8" s="93"/>
      <c r="AG8" s="98"/>
      <c r="AH8" s="93"/>
      <c r="AI8" s="98"/>
    </row>
    <row r="9" spans="4:35" s="92" customFormat="1" ht="12.75">
      <c r="D9" s="93"/>
      <c r="E9" s="97"/>
      <c r="F9" s="93"/>
      <c r="G9" s="97"/>
      <c r="H9" s="93"/>
      <c r="I9" s="97"/>
      <c r="J9" s="93"/>
      <c r="K9" s="97"/>
      <c r="L9" s="93"/>
      <c r="M9" s="97"/>
      <c r="N9" s="93"/>
      <c r="O9" s="97"/>
      <c r="P9" s="93"/>
      <c r="Q9" s="97"/>
      <c r="R9" s="93"/>
      <c r="S9" s="97"/>
      <c r="T9" s="93"/>
      <c r="U9" s="98"/>
      <c r="V9" s="93"/>
      <c r="W9" s="98"/>
      <c r="X9" s="93"/>
      <c r="Y9" s="98"/>
      <c r="Z9" s="93"/>
      <c r="AA9" s="98"/>
      <c r="AB9" s="93"/>
      <c r="AC9" s="98"/>
      <c r="AD9" s="93"/>
      <c r="AE9" s="98"/>
      <c r="AF9" s="93"/>
      <c r="AG9" s="98"/>
      <c r="AH9" s="93"/>
      <c r="AI9" s="98"/>
    </row>
    <row r="10" spans="3:35" s="92" customFormat="1" ht="12.75">
      <c r="C10" s="16"/>
      <c r="D10" s="93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93"/>
      <c r="AA10" s="98"/>
      <c r="AB10" s="93"/>
      <c r="AC10" s="98"/>
      <c r="AD10" s="93"/>
      <c r="AE10" s="98"/>
      <c r="AF10" s="93"/>
      <c r="AG10" s="98"/>
      <c r="AH10" s="93"/>
      <c r="AI10" s="98"/>
    </row>
    <row r="11" spans="4:35" s="92" customFormat="1" ht="12.75">
      <c r="D11" s="93"/>
      <c r="E11" s="97"/>
      <c r="F11" s="93"/>
      <c r="G11" s="97"/>
      <c r="H11" s="93"/>
      <c r="I11" s="97"/>
      <c r="J11" s="93"/>
      <c r="K11" s="97"/>
      <c r="L11" s="93"/>
      <c r="M11" s="97"/>
      <c r="N11" s="93"/>
      <c r="O11" s="97"/>
      <c r="P11" s="93"/>
      <c r="Q11" s="97"/>
      <c r="R11" s="93"/>
      <c r="S11" s="97"/>
      <c r="T11" s="93"/>
      <c r="U11" s="98"/>
      <c r="V11" s="93"/>
      <c r="W11" s="98"/>
      <c r="X11" s="93"/>
      <c r="Y11" s="98"/>
      <c r="Z11" s="93"/>
      <c r="AA11" s="98"/>
      <c r="AB11" s="93"/>
      <c r="AC11" s="98"/>
      <c r="AD11" s="93"/>
      <c r="AE11" s="98"/>
      <c r="AF11" s="93"/>
      <c r="AG11" s="98"/>
      <c r="AH11" s="93"/>
      <c r="AI11" s="98"/>
    </row>
    <row r="12" spans="4:35" s="92" customFormat="1" ht="12.75">
      <c r="D12" s="93"/>
      <c r="E12" s="97"/>
      <c r="F12" s="93"/>
      <c r="G12" s="97"/>
      <c r="H12" s="93"/>
      <c r="I12" s="97"/>
      <c r="J12" s="93"/>
      <c r="K12" s="97"/>
      <c r="L12" s="93"/>
      <c r="M12" s="97"/>
      <c r="N12" s="93"/>
      <c r="O12" s="97"/>
      <c r="P12" s="93"/>
      <c r="Q12" s="97"/>
      <c r="R12" s="93"/>
      <c r="S12" s="97"/>
      <c r="T12" s="93"/>
      <c r="U12" s="98"/>
      <c r="V12" s="93"/>
      <c r="W12" s="98"/>
      <c r="X12" s="93"/>
      <c r="Y12" s="98"/>
      <c r="Z12" s="93"/>
      <c r="AA12" s="98"/>
      <c r="AB12" s="93"/>
      <c r="AC12" s="98"/>
      <c r="AD12" s="93"/>
      <c r="AE12" s="98"/>
      <c r="AF12" s="93"/>
      <c r="AG12" s="98"/>
      <c r="AH12" s="93"/>
      <c r="AI12" s="98"/>
    </row>
  </sheetData>
  <printOptions headings="1" horizontalCentered="1"/>
  <pageMargins left="0.25" right="0.25" top="0.5" bottom="0.5" header="0.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I8"/>
  <sheetViews>
    <sheetView workbookViewId="0" topLeftCell="C1">
      <selection activeCell="B2" sqref="B2"/>
    </sheetView>
  </sheetViews>
  <sheetFormatPr defaultColWidth="9.140625" defaultRowHeight="12.75"/>
  <cols>
    <col min="1" max="1" width="2.57421875" style="0" hidden="1" customWidth="1"/>
    <col min="2" max="2" width="3.8515625" style="0" hidden="1" customWidth="1"/>
    <col min="3" max="3" width="10.421875" style="0" customWidth="1"/>
    <col min="4" max="4" width="2.00390625" style="0" customWidth="1"/>
    <col min="5" max="5" width="5.57421875" style="0" bestFit="1" customWidth="1"/>
    <col min="6" max="6" width="1.8515625" style="0" customWidth="1"/>
    <col min="7" max="7" width="5.57421875" style="0" bestFit="1" customWidth="1"/>
    <col min="8" max="8" width="2.140625" style="0" customWidth="1"/>
    <col min="9" max="9" width="5.57421875" style="0" bestFit="1" customWidth="1"/>
    <col min="10" max="10" width="2.28125" style="0" customWidth="1"/>
    <col min="11" max="11" width="5.57421875" style="0" bestFit="1" customWidth="1"/>
    <col min="12" max="12" width="2.421875" style="0" customWidth="1"/>
    <col min="13" max="13" width="5.57421875" style="0" bestFit="1" customWidth="1"/>
    <col min="14" max="14" width="2.28125" style="0" customWidth="1"/>
    <col min="15" max="15" width="5.57421875" style="0" bestFit="1" customWidth="1"/>
    <col min="16" max="16" width="2.28125" style="0" customWidth="1"/>
    <col min="17" max="17" width="5.57421875" style="0" bestFit="1" customWidth="1"/>
    <col min="18" max="18" width="2.00390625" style="0" customWidth="1"/>
    <col min="19" max="19" width="5.57421875" style="0" bestFit="1" customWidth="1"/>
    <col min="20" max="20" width="2.57421875" style="0" customWidth="1"/>
    <col min="21" max="21" width="7.57421875" style="0" bestFit="1" customWidth="1"/>
    <col min="22" max="22" width="2.8515625" style="0" customWidth="1"/>
    <col min="23" max="23" width="7.57421875" style="0" bestFit="1" customWidth="1"/>
    <col min="24" max="24" width="2.421875" style="0" customWidth="1"/>
    <col min="25" max="25" width="7.57421875" style="0" bestFit="1" customWidth="1"/>
  </cols>
  <sheetData>
    <row r="1" ht="12.75">
      <c r="C1" s="6" t="s">
        <v>288</v>
      </c>
    </row>
    <row r="3" ht="12.75">
      <c r="C3" t="s">
        <v>67</v>
      </c>
    </row>
    <row r="4" spans="4:35" s="92" customFormat="1" ht="12.75">
      <c r="D4" s="93"/>
      <c r="E4" s="97"/>
      <c r="F4" s="93"/>
      <c r="G4" s="97"/>
      <c r="H4" s="93"/>
      <c r="I4" s="97"/>
      <c r="J4" s="93"/>
      <c r="K4" s="97"/>
      <c r="L4" s="93"/>
      <c r="M4" s="97"/>
      <c r="N4" s="93"/>
      <c r="O4" s="97"/>
      <c r="P4" s="93"/>
      <c r="Q4" s="97"/>
      <c r="R4" s="93"/>
      <c r="S4" s="97"/>
      <c r="T4" s="93"/>
      <c r="U4" s="98"/>
      <c r="V4" s="93"/>
      <c r="W4" s="98"/>
      <c r="X4" s="93"/>
      <c r="Y4" s="98"/>
      <c r="Z4" s="93"/>
      <c r="AA4" s="98"/>
      <c r="AB4" s="93"/>
      <c r="AC4" s="98"/>
      <c r="AD4" s="93"/>
      <c r="AE4" s="98"/>
      <c r="AF4" s="93"/>
      <c r="AG4" s="98"/>
      <c r="AH4" s="93"/>
      <c r="AI4" s="98"/>
    </row>
    <row r="5" spans="4:35" s="92" customFormat="1" ht="12.75">
      <c r="D5" s="93"/>
      <c r="E5" s="97"/>
      <c r="F5" s="93"/>
      <c r="G5" s="97"/>
      <c r="H5" s="93"/>
      <c r="I5" s="97"/>
      <c r="J5" s="93"/>
      <c r="K5" s="97"/>
      <c r="L5" s="93"/>
      <c r="M5" s="97"/>
      <c r="N5" s="93"/>
      <c r="O5" s="97"/>
      <c r="P5" s="93"/>
      <c r="Q5" s="97"/>
      <c r="R5" s="93"/>
      <c r="S5" s="97"/>
      <c r="T5" s="93"/>
      <c r="U5" s="98"/>
      <c r="V5" s="93"/>
      <c r="W5" s="98"/>
      <c r="X5" s="93"/>
      <c r="Y5" s="98"/>
      <c r="Z5" s="93"/>
      <c r="AA5" s="98"/>
      <c r="AB5" s="93"/>
      <c r="AC5" s="98"/>
      <c r="AD5" s="93"/>
      <c r="AE5" s="98"/>
      <c r="AF5" s="93"/>
      <c r="AG5" s="98"/>
      <c r="AH5" s="93"/>
      <c r="AI5" s="98"/>
    </row>
    <row r="6" spans="3:35" s="92" customFormat="1" ht="12.75">
      <c r="C6" s="16"/>
      <c r="D6" s="93"/>
      <c r="E6" s="50" t="s">
        <v>316</v>
      </c>
      <c r="F6" s="50"/>
      <c r="G6" s="50" t="s">
        <v>317</v>
      </c>
      <c r="H6" s="50"/>
      <c r="I6" s="50" t="s">
        <v>318</v>
      </c>
      <c r="J6" s="50"/>
      <c r="K6" s="50" t="s">
        <v>319</v>
      </c>
      <c r="L6" s="50"/>
      <c r="M6" s="50" t="s">
        <v>320</v>
      </c>
      <c r="N6" s="50"/>
      <c r="O6" s="50" t="s">
        <v>321</v>
      </c>
      <c r="P6" s="50"/>
      <c r="Q6" s="50" t="s">
        <v>322</v>
      </c>
      <c r="R6" s="50"/>
      <c r="S6" s="50" t="s">
        <v>323</v>
      </c>
      <c r="T6" s="50"/>
      <c r="U6" s="50" t="s">
        <v>378</v>
      </c>
      <c r="V6" s="50"/>
      <c r="W6" s="50" t="s">
        <v>379</v>
      </c>
      <c r="X6" s="50"/>
      <c r="Y6" s="50" t="s">
        <v>380</v>
      </c>
      <c r="Z6" s="93"/>
      <c r="AA6" s="98"/>
      <c r="AB6" s="93"/>
      <c r="AC6" s="98"/>
      <c r="AD6" s="93"/>
      <c r="AE6" s="98"/>
      <c r="AF6" s="93"/>
      <c r="AG6" s="98"/>
      <c r="AH6" s="93"/>
      <c r="AI6" s="98"/>
    </row>
    <row r="7" spans="4:35" s="92" customFormat="1" ht="12.75">
      <c r="D7" s="93"/>
      <c r="E7" s="97"/>
      <c r="F7" s="93"/>
      <c r="G7" s="97"/>
      <c r="H7" s="93"/>
      <c r="I7" s="97"/>
      <c r="J7" s="93"/>
      <c r="K7" s="97"/>
      <c r="L7" s="93"/>
      <c r="M7" s="97"/>
      <c r="N7" s="93"/>
      <c r="O7" s="97"/>
      <c r="P7" s="93"/>
      <c r="Q7" s="97"/>
      <c r="R7" s="93"/>
      <c r="S7" s="97"/>
      <c r="T7" s="93"/>
      <c r="U7" s="98"/>
      <c r="V7" s="93"/>
      <c r="W7" s="98"/>
      <c r="X7" s="93"/>
      <c r="Y7" s="98"/>
      <c r="Z7" s="93"/>
      <c r="AA7" s="98"/>
      <c r="AB7" s="93"/>
      <c r="AC7" s="98"/>
      <c r="AD7" s="93"/>
      <c r="AE7" s="98"/>
      <c r="AF7" s="93"/>
      <c r="AG7" s="98"/>
      <c r="AH7" s="93"/>
      <c r="AI7" s="98"/>
    </row>
    <row r="8" spans="1:35" s="92" customFormat="1" ht="12.75">
      <c r="A8" s="92" t="s">
        <v>288</v>
      </c>
      <c r="B8" s="92">
        <v>35</v>
      </c>
      <c r="C8" s="92" t="s">
        <v>27</v>
      </c>
      <c r="D8" s="93"/>
      <c r="E8" s="97">
        <v>0.024</v>
      </c>
      <c r="F8" s="93"/>
      <c r="G8" s="97">
        <v>0.023</v>
      </c>
      <c r="H8" s="93"/>
      <c r="I8" s="97">
        <v>0.062</v>
      </c>
      <c r="J8" s="93"/>
      <c r="K8" s="97">
        <v>0.022</v>
      </c>
      <c r="L8" s="93"/>
      <c r="M8" s="97">
        <v>0.015</v>
      </c>
      <c r="N8" s="93"/>
      <c r="O8" s="97">
        <v>0.011</v>
      </c>
      <c r="P8" s="93"/>
      <c r="Q8" s="97">
        <v>0.011</v>
      </c>
      <c r="R8" s="93"/>
      <c r="S8" s="97">
        <v>0.011</v>
      </c>
      <c r="T8" s="93"/>
      <c r="U8" s="98">
        <v>0.017</v>
      </c>
      <c r="V8" s="93"/>
      <c r="W8" s="98">
        <v>0.026</v>
      </c>
      <c r="X8" s="93"/>
      <c r="Y8" s="98">
        <v>0.025</v>
      </c>
      <c r="Z8" s="93"/>
      <c r="AA8" s="98"/>
      <c r="AB8" s="93"/>
      <c r="AC8" s="98"/>
      <c r="AD8" s="93"/>
      <c r="AE8" s="98"/>
      <c r="AF8" s="93"/>
      <c r="AG8" s="98"/>
      <c r="AH8" s="93"/>
      <c r="AI8" s="98"/>
    </row>
  </sheetData>
  <printOptions headings="1" horizontalCentered="1"/>
  <pageMargins left="0.25" right="0.25" top="0.5" bottom="0.5" header="0.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76"/>
  <sheetViews>
    <sheetView workbookViewId="0" topLeftCell="B1">
      <selection activeCell="B2" sqref="B2"/>
    </sheetView>
  </sheetViews>
  <sheetFormatPr defaultColWidth="9.140625" defaultRowHeight="12.75"/>
  <cols>
    <col min="1" max="1" width="4.8515625" style="0" hidden="1" customWidth="1"/>
    <col min="2" max="2" width="21.8515625" style="0" customWidth="1"/>
    <col min="3" max="3" width="72.421875" style="86" customWidth="1"/>
  </cols>
  <sheetData>
    <row r="1" ht="12.75">
      <c r="B1" s="6" t="s">
        <v>381</v>
      </c>
    </row>
    <row r="3" spans="2:11" s="1" customFormat="1" ht="12.75">
      <c r="B3" s="6" t="s">
        <v>140</v>
      </c>
      <c r="C3" s="12"/>
      <c r="D3" s="12"/>
      <c r="E3" s="12"/>
      <c r="F3" s="12"/>
      <c r="G3" s="12"/>
      <c r="H3" s="12"/>
      <c r="I3" s="12"/>
      <c r="J3" s="12"/>
      <c r="K3" s="12"/>
    </row>
    <row r="4" spans="2:11" s="1" customFormat="1" ht="12.75">
      <c r="B4" s="6"/>
      <c r="C4" s="12"/>
      <c r="D4" s="12"/>
      <c r="E4" s="12"/>
      <c r="F4" s="12"/>
      <c r="G4" s="12"/>
      <c r="H4" s="12"/>
      <c r="I4" s="12"/>
      <c r="J4" s="12"/>
      <c r="K4" s="12"/>
    </row>
    <row r="5" spans="2:11" s="1" customFormat="1" ht="12.75">
      <c r="B5" s="53" t="s">
        <v>277</v>
      </c>
      <c r="C5" s="47" t="s">
        <v>136</v>
      </c>
      <c r="D5" s="12"/>
      <c r="E5" s="12"/>
      <c r="F5" s="12"/>
      <c r="G5" s="12"/>
      <c r="H5" s="12"/>
      <c r="I5" s="12"/>
      <c r="J5" s="12"/>
      <c r="K5" s="12"/>
    </row>
    <row r="6" spans="2:11" s="1" customFormat="1" ht="12.75">
      <c r="B6" s="12" t="s">
        <v>278</v>
      </c>
      <c r="C6" s="12" t="s">
        <v>137</v>
      </c>
      <c r="D6" s="12"/>
      <c r="E6" s="12"/>
      <c r="F6" s="12"/>
      <c r="G6" s="12"/>
      <c r="H6" s="12"/>
      <c r="I6" s="12"/>
      <c r="J6" s="12"/>
      <c r="K6" s="12"/>
    </row>
    <row r="7" spans="2:11" s="1" customFormat="1" ht="12.75">
      <c r="B7" s="12" t="s">
        <v>279</v>
      </c>
      <c r="C7" s="12" t="s">
        <v>123</v>
      </c>
      <c r="D7" s="12"/>
      <c r="E7" s="12"/>
      <c r="F7" s="12"/>
      <c r="G7" s="12"/>
      <c r="H7" s="12"/>
      <c r="I7" s="12"/>
      <c r="J7" s="12"/>
      <c r="K7" s="12"/>
    </row>
    <row r="8" spans="2:11" s="1" customFormat="1" ht="12.75">
      <c r="B8" s="12" t="s">
        <v>274</v>
      </c>
      <c r="C8" s="15" t="s">
        <v>138</v>
      </c>
      <c r="D8" s="12"/>
      <c r="E8" s="12"/>
      <c r="F8" s="12"/>
      <c r="G8" s="12"/>
      <c r="H8" s="12"/>
      <c r="I8" s="12"/>
      <c r="J8" s="12"/>
      <c r="K8" s="12"/>
    </row>
    <row r="9" spans="2:11" s="1" customFormat="1" ht="12.75">
      <c r="B9" s="12" t="s">
        <v>433</v>
      </c>
      <c r="C9" s="105">
        <v>35612</v>
      </c>
      <c r="D9" s="12"/>
      <c r="E9" s="12"/>
      <c r="F9" s="12"/>
      <c r="G9" s="12"/>
      <c r="H9" s="12"/>
      <c r="I9" s="12"/>
      <c r="J9" s="12"/>
      <c r="K9" s="12"/>
    </row>
    <row r="10" spans="2:11" s="1" customFormat="1" ht="12.75">
      <c r="B10" s="12" t="s">
        <v>275</v>
      </c>
      <c r="C10" s="12" t="s">
        <v>167</v>
      </c>
      <c r="D10" s="12"/>
      <c r="E10" s="12"/>
      <c r="F10" s="12"/>
      <c r="G10" s="12"/>
      <c r="H10" s="12"/>
      <c r="I10" s="12"/>
      <c r="J10" s="12"/>
      <c r="K10" s="12"/>
    </row>
    <row r="11" spans="2:11" s="1" customFormat="1" ht="12.75">
      <c r="B11" s="53" t="s">
        <v>276</v>
      </c>
      <c r="C11" s="48" t="s">
        <v>139</v>
      </c>
      <c r="D11" s="12"/>
      <c r="E11" s="12"/>
      <c r="F11" s="12"/>
      <c r="G11" s="12"/>
      <c r="H11" s="12"/>
      <c r="I11" s="12"/>
      <c r="J11" s="12"/>
      <c r="K11" s="12"/>
    </row>
    <row r="12" spans="2:11" s="1" customFormat="1" ht="12.75">
      <c r="B12" s="12"/>
      <c r="C12" s="15"/>
      <c r="D12" s="12"/>
      <c r="E12" s="12"/>
      <c r="F12" s="12"/>
      <c r="G12" s="12"/>
      <c r="H12" s="12"/>
      <c r="I12" s="12"/>
      <c r="J12" s="12"/>
      <c r="K12" s="12"/>
    </row>
    <row r="13" spans="2:11" s="1" customFormat="1" ht="12.75">
      <c r="B13" s="6" t="s">
        <v>174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2:11" s="1" customFormat="1" ht="12.75">
      <c r="B14" s="6"/>
      <c r="C14" s="12"/>
      <c r="D14" s="12"/>
      <c r="E14" s="12"/>
      <c r="F14" s="12"/>
      <c r="G14" s="12"/>
      <c r="H14" s="12"/>
      <c r="I14" s="12"/>
      <c r="J14" s="12"/>
      <c r="K14" s="12"/>
    </row>
    <row r="15" spans="2:11" s="1" customFormat="1" ht="12.75">
      <c r="B15" s="53" t="s">
        <v>277</v>
      </c>
      <c r="C15" s="47" t="s">
        <v>168</v>
      </c>
      <c r="E15" s="12"/>
      <c r="F15" s="12"/>
      <c r="G15" s="12"/>
      <c r="H15" s="12"/>
      <c r="I15" s="12"/>
      <c r="J15" s="12"/>
      <c r="K15" s="12"/>
    </row>
    <row r="16" spans="2:11" s="1" customFormat="1" ht="12.75">
      <c r="B16" s="12" t="s">
        <v>278</v>
      </c>
      <c r="C16" s="12" t="s">
        <v>169</v>
      </c>
      <c r="E16" s="12"/>
      <c r="F16" s="12"/>
      <c r="G16" s="12"/>
      <c r="H16" s="12"/>
      <c r="I16" s="12"/>
      <c r="J16" s="12"/>
      <c r="K16" s="12"/>
    </row>
    <row r="17" spans="2:11" s="1" customFormat="1" ht="12.75">
      <c r="B17" s="12" t="s">
        <v>279</v>
      </c>
      <c r="C17" s="12" t="s">
        <v>123</v>
      </c>
      <c r="E17" s="12"/>
      <c r="F17" s="12"/>
      <c r="G17" s="12"/>
      <c r="H17" s="12"/>
      <c r="I17" s="12"/>
      <c r="J17" s="12"/>
      <c r="K17" s="12"/>
    </row>
    <row r="18" spans="2:11" s="1" customFormat="1" ht="12.75">
      <c r="B18" s="12" t="s">
        <v>274</v>
      </c>
      <c r="C18" s="15" t="s">
        <v>170</v>
      </c>
      <c r="D18" s="12"/>
      <c r="E18" s="12"/>
      <c r="F18" s="12"/>
      <c r="G18" s="12"/>
      <c r="H18" s="12"/>
      <c r="I18" s="12"/>
      <c r="J18" s="12"/>
      <c r="K18" s="12"/>
    </row>
    <row r="19" spans="2:11" s="1" customFormat="1" ht="12.75">
      <c r="B19" s="12" t="s">
        <v>433</v>
      </c>
      <c r="C19" s="105">
        <v>36100</v>
      </c>
      <c r="D19" s="12"/>
      <c r="E19" s="12"/>
      <c r="F19" s="12"/>
      <c r="G19" s="12"/>
      <c r="H19" s="12"/>
      <c r="I19" s="12"/>
      <c r="J19" s="12"/>
      <c r="K19" s="12"/>
    </row>
    <row r="20" spans="2:11" s="1" customFormat="1" ht="12.75">
      <c r="B20" s="12" t="s">
        <v>275</v>
      </c>
      <c r="C20" s="12" t="s">
        <v>172</v>
      </c>
      <c r="D20" s="12"/>
      <c r="E20" s="12"/>
      <c r="F20" s="12"/>
      <c r="G20" s="12"/>
      <c r="H20" s="12"/>
      <c r="I20" s="12"/>
      <c r="J20" s="12"/>
      <c r="K20" s="12"/>
    </row>
    <row r="21" spans="2:11" s="1" customFormat="1" ht="12.75">
      <c r="B21" s="53" t="s">
        <v>276</v>
      </c>
      <c r="C21" s="48" t="s">
        <v>173</v>
      </c>
      <c r="D21" s="12"/>
      <c r="E21" s="12"/>
      <c r="F21" s="12"/>
      <c r="G21" s="12"/>
      <c r="H21" s="12"/>
      <c r="I21" s="12"/>
      <c r="J21" s="12"/>
      <c r="K21" s="12"/>
    </row>
    <row r="22" spans="2:11" s="1" customFormat="1" ht="15.75">
      <c r="B22" s="68"/>
      <c r="C22" s="12"/>
      <c r="D22" s="12"/>
      <c r="E22" s="12"/>
      <c r="F22" s="12"/>
      <c r="G22" s="12"/>
      <c r="H22" s="12"/>
      <c r="I22" s="12"/>
      <c r="J22" s="12"/>
      <c r="K22" s="12"/>
    </row>
    <row r="23" spans="2:11" s="1" customFormat="1" ht="12.75">
      <c r="B23" s="6" t="s">
        <v>188</v>
      </c>
      <c r="C23" s="12"/>
      <c r="D23" s="12"/>
      <c r="E23" s="12"/>
      <c r="F23" s="12"/>
      <c r="G23" s="12"/>
      <c r="H23" s="12"/>
      <c r="I23" s="12"/>
      <c r="J23" s="12"/>
      <c r="K23" s="12"/>
    </row>
    <row r="24" spans="2:11" s="1" customFormat="1" ht="12.75">
      <c r="B24" s="6"/>
      <c r="C24" s="12"/>
      <c r="D24" s="12"/>
      <c r="E24" s="12"/>
      <c r="F24" s="12"/>
      <c r="G24" s="12"/>
      <c r="H24" s="12"/>
      <c r="I24" s="12"/>
      <c r="J24" s="12"/>
      <c r="K24" s="12"/>
    </row>
    <row r="25" spans="2:11" s="1" customFormat="1" ht="12.75">
      <c r="B25" s="53" t="s">
        <v>277</v>
      </c>
      <c r="C25" s="47" t="s">
        <v>184</v>
      </c>
      <c r="E25" s="12"/>
      <c r="F25" s="12"/>
      <c r="G25" s="12"/>
      <c r="H25" s="12"/>
      <c r="I25" s="12"/>
      <c r="J25" s="12"/>
      <c r="K25" s="12"/>
    </row>
    <row r="26" spans="2:11" s="1" customFormat="1" ht="12.75">
      <c r="B26" s="12" t="s">
        <v>278</v>
      </c>
      <c r="C26" s="12" t="s">
        <v>169</v>
      </c>
      <c r="E26" s="12"/>
      <c r="F26" s="12"/>
      <c r="G26" s="12"/>
      <c r="H26" s="12"/>
      <c r="I26" s="12"/>
      <c r="J26" s="12"/>
      <c r="K26" s="12"/>
    </row>
    <row r="27" spans="2:11" s="1" customFormat="1" ht="12.75">
      <c r="B27" s="12" t="s">
        <v>279</v>
      </c>
      <c r="C27" s="12" t="s">
        <v>123</v>
      </c>
      <c r="E27" s="12"/>
      <c r="F27" s="12"/>
      <c r="G27" s="12"/>
      <c r="H27" s="12"/>
      <c r="I27" s="12"/>
      <c r="J27" s="12"/>
      <c r="K27" s="12"/>
    </row>
    <row r="28" spans="2:11" s="1" customFormat="1" ht="12.75">
      <c r="B28" s="12" t="s">
        <v>274</v>
      </c>
      <c r="C28" s="15" t="s">
        <v>185</v>
      </c>
      <c r="D28" s="12"/>
      <c r="E28" s="12"/>
      <c r="F28" s="12"/>
      <c r="G28" s="12"/>
      <c r="H28" s="12"/>
      <c r="I28" s="12"/>
      <c r="J28" s="12"/>
      <c r="K28" s="12"/>
    </row>
    <row r="29" spans="2:11" s="1" customFormat="1" ht="12.75">
      <c r="B29" s="12" t="s">
        <v>433</v>
      </c>
      <c r="C29" s="105">
        <v>36465</v>
      </c>
      <c r="D29" s="12"/>
      <c r="E29" s="12"/>
      <c r="F29" s="12"/>
      <c r="G29" s="12"/>
      <c r="H29" s="12"/>
      <c r="I29" s="12"/>
      <c r="J29" s="12"/>
      <c r="K29" s="12"/>
    </row>
    <row r="30" spans="2:11" s="1" customFormat="1" ht="12.75">
      <c r="B30" s="12" t="s">
        <v>275</v>
      </c>
      <c r="C30" s="12" t="s">
        <v>186</v>
      </c>
      <c r="D30" s="12"/>
      <c r="E30" s="12"/>
      <c r="F30" s="12"/>
      <c r="G30" s="12"/>
      <c r="H30" s="12"/>
      <c r="I30" s="12"/>
      <c r="J30" s="12"/>
      <c r="K30" s="12"/>
    </row>
    <row r="31" spans="2:11" s="1" customFormat="1" ht="12.75">
      <c r="B31" s="53" t="s">
        <v>276</v>
      </c>
      <c r="C31" s="48" t="s">
        <v>187</v>
      </c>
      <c r="D31" s="12"/>
      <c r="E31" s="12"/>
      <c r="F31" s="12"/>
      <c r="G31" s="12"/>
      <c r="H31" s="12"/>
      <c r="I31" s="12"/>
      <c r="J31" s="12"/>
      <c r="K31" s="12"/>
    </row>
    <row r="32" spans="2:11" s="1" customFormat="1" ht="15.75">
      <c r="B32" s="68"/>
      <c r="C32" s="12"/>
      <c r="D32" s="12"/>
      <c r="E32" s="12"/>
      <c r="F32" s="12"/>
      <c r="G32" s="12"/>
      <c r="H32" s="12"/>
      <c r="I32" s="12"/>
      <c r="J32" s="12"/>
      <c r="K32" s="12"/>
    </row>
    <row r="33" spans="2:11" s="1" customFormat="1" ht="12.75">
      <c r="B33" s="6" t="s">
        <v>195</v>
      </c>
      <c r="C33" s="12"/>
      <c r="D33" s="12"/>
      <c r="E33" s="12"/>
      <c r="F33" s="12"/>
      <c r="G33" s="12"/>
      <c r="H33" s="12"/>
      <c r="I33" s="12"/>
      <c r="J33" s="12"/>
      <c r="K33" s="12"/>
    </row>
    <row r="34" spans="2:11" s="1" customFormat="1" ht="12.75">
      <c r="B34" s="6"/>
      <c r="C34" s="42"/>
      <c r="D34" s="12"/>
      <c r="E34" s="12"/>
      <c r="F34" s="12"/>
      <c r="G34" s="12"/>
      <c r="H34" s="12"/>
      <c r="I34" s="12"/>
      <c r="J34" s="12"/>
      <c r="K34" s="12"/>
    </row>
    <row r="35" spans="2:11" s="1" customFormat="1" ht="12.75">
      <c r="B35" s="53" t="s">
        <v>277</v>
      </c>
      <c r="C35" s="42" t="s">
        <v>192</v>
      </c>
      <c r="D35" s="12"/>
      <c r="E35" s="12"/>
      <c r="F35" s="12"/>
      <c r="G35" s="12"/>
      <c r="H35" s="12"/>
      <c r="I35" s="12"/>
      <c r="J35" s="12"/>
      <c r="K35" s="12"/>
    </row>
    <row r="36" spans="2:11" s="1" customFormat="1" ht="12.75">
      <c r="B36" s="12" t="s">
        <v>278</v>
      </c>
      <c r="C36" s="42" t="s">
        <v>169</v>
      </c>
      <c r="D36" s="12"/>
      <c r="E36" s="12"/>
      <c r="F36" s="12"/>
      <c r="G36" s="12"/>
      <c r="H36" s="12"/>
      <c r="I36" s="12"/>
      <c r="J36" s="12"/>
      <c r="K36" s="12"/>
    </row>
    <row r="37" spans="2:11" s="1" customFormat="1" ht="12.75">
      <c r="B37" s="12" t="s">
        <v>279</v>
      </c>
      <c r="C37" s="42" t="s">
        <v>123</v>
      </c>
      <c r="D37" s="12"/>
      <c r="E37" s="12"/>
      <c r="F37" s="12"/>
      <c r="G37" s="12"/>
      <c r="H37" s="12"/>
      <c r="I37" s="12"/>
      <c r="J37" s="12"/>
      <c r="K37" s="12"/>
    </row>
    <row r="38" spans="2:11" s="1" customFormat="1" ht="12.75">
      <c r="B38" s="12" t="s">
        <v>274</v>
      </c>
      <c r="C38" s="101" t="s">
        <v>194</v>
      </c>
      <c r="D38" s="12"/>
      <c r="E38" s="12"/>
      <c r="F38" s="12"/>
      <c r="G38" s="12"/>
      <c r="H38" s="12"/>
      <c r="I38" s="12"/>
      <c r="J38" s="12"/>
      <c r="K38" s="12"/>
    </row>
    <row r="39" spans="2:11" s="1" customFormat="1" ht="12.75">
      <c r="B39" s="12" t="s">
        <v>433</v>
      </c>
      <c r="C39" s="105">
        <v>36831</v>
      </c>
      <c r="D39" s="12"/>
      <c r="E39" s="12"/>
      <c r="F39" s="12"/>
      <c r="G39" s="12"/>
      <c r="H39" s="12"/>
      <c r="I39" s="12"/>
      <c r="J39" s="12"/>
      <c r="K39" s="12"/>
    </row>
    <row r="40" spans="2:11" s="1" customFormat="1" ht="12.75">
      <c r="B40" s="12" t="s">
        <v>275</v>
      </c>
      <c r="C40" s="42" t="s">
        <v>193</v>
      </c>
      <c r="D40" s="12"/>
      <c r="E40" s="12"/>
      <c r="F40" s="12"/>
      <c r="G40" s="12"/>
      <c r="H40" s="12"/>
      <c r="I40" s="12"/>
      <c r="J40" s="12"/>
      <c r="K40" s="12"/>
    </row>
    <row r="41" spans="2:11" s="1" customFormat="1" ht="12.75">
      <c r="B41" s="53" t="s">
        <v>276</v>
      </c>
      <c r="C41" s="101" t="s">
        <v>265</v>
      </c>
      <c r="D41" s="12"/>
      <c r="E41" s="12"/>
      <c r="F41" s="12"/>
      <c r="G41" s="12"/>
      <c r="H41" s="12"/>
      <c r="I41" s="12"/>
      <c r="J41" s="12"/>
      <c r="K41" s="12"/>
    </row>
    <row r="42" spans="2:11" s="1" customFormat="1" ht="12" customHeight="1">
      <c r="B42" s="53"/>
      <c r="C42" s="101"/>
      <c r="D42" s="12"/>
      <c r="E42" s="12"/>
      <c r="F42" s="12"/>
      <c r="G42" s="12"/>
      <c r="H42" s="12"/>
      <c r="I42" s="12"/>
      <c r="J42" s="12"/>
      <c r="K42" s="12"/>
    </row>
    <row r="43" spans="2:3" ht="12.75">
      <c r="B43" s="6" t="s">
        <v>291</v>
      </c>
      <c r="C43" s="102"/>
    </row>
    <row r="44" spans="2:3" ht="12.75">
      <c r="B44" s="6"/>
      <c r="C44" s="102"/>
    </row>
    <row r="45" spans="2:3" ht="28.5" customHeight="1">
      <c r="B45" s="53" t="s">
        <v>277</v>
      </c>
      <c r="C45" s="42" t="s">
        <v>397</v>
      </c>
    </row>
    <row r="46" spans="2:3" ht="12.75">
      <c r="B46" s="12" t="s">
        <v>278</v>
      </c>
      <c r="C46" s="42" t="s">
        <v>129</v>
      </c>
    </row>
    <row r="47" spans="2:3" ht="12.75">
      <c r="B47" s="12" t="s">
        <v>279</v>
      </c>
      <c r="C47" s="42" t="s">
        <v>398</v>
      </c>
    </row>
    <row r="48" spans="1:3" ht="12.75">
      <c r="A48" t="s">
        <v>291</v>
      </c>
      <c r="B48" t="s">
        <v>281</v>
      </c>
      <c r="C48" s="102" t="s">
        <v>292</v>
      </c>
    </row>
    <row r="49" spans="1:3" ht="12.75">
      <c r="A49" t="s">
        <v>291</v>
      </c>
      <c r="B49" s="12" t="s">
        <v>274</v>
      </c>
      <c r="C49" s="102" t="s">
        <v>293</v>
      </c>
    </row>
    <row r="50" spans="2:3" ht="12.75">
      <c r="B50" s="12" t="s">
        <v>433</v>
      </c>
      <c r="C50" s="106">
        <v>34090</v>
      </c>
    </row>
    <row r="51" ht="12.75">
      <c r="C51" s="102"/>
    </row>
    <row r="52" spans="2:3" ht="12.75">
      <c r="B52" s="6" t="s">
        <v>294</v>
      </c>
      <c r="C52" s="102"/>
    </row>
    <row r="53" spans="2:3" ht="12.75">
      <c r="B53" s="6"/>
      <c r="C53" s="102"/>
    </row>
    <row r="54" spans="2:3" ht="27" customHeight="1">
      <c r="B54" s="53" t="s">
        <v>277</v>
      </c>
      <c r="C54" s="42" t="s">
        <v>397</v>
      </c>
    </row>
    <row r="55" spans="2:3" ht="12.75">
      <c r="B55" s="12" t="s">
        <v>278</v>
      </c>
      <c r="C55" s="42" t="s">
        <v>129</v>
      </c>
    </row>
    <row r="56" spans="2:3" ht="12.75">
      <c r="B56" s="12" t="s">
        <v>279</v>
      </c>
      <c r="C56" s="42" t="s">
        <v>398</v>
      </c>
    </row>
    <row r="57" spans="1:3" ht="12.75">
      <c r="A57" t="s">
        <v>294</v>
      </c>
      <c r="B57" t="s">
        <v>281</v>
      </c>
      <c r="C57" s="102" t="s">
        <v>295</v>
      </c>
    </row>
    <row r="58" spans="1:3" ht="12.75">
      <c r="A58" t="s">
        <v>294</v>
      </c>
      <c r="B58" s="12" t="s">
        <v>274</v>
      </c>
      <c r="C58" s="102" t="s">
        <v>296</v>
      </c>
    </row>
    <row r="59" spans="1:3" ht="12.75">
      <c r="A59" t="s">
        <v>294</v>
      </c>
      <c r="B59" s="12" t="s">
        <v>433</v>
      </c>
      <c r="C59" s="106">
        <v>34090</v>
      </c>
    </row>
    <row r="60" ht="12.75">
      <c r="C60" s="102"/>
    </row>
    <row r="61" spans="2:3" ht="12.75">
      <c r="B61" s="6" t="s">
        <v>297</v>
      </c>
      <c r="C61" s="102"/>
    </row>
    <row r="62" spans="2:3" ht="12.75">
      <c r="B62" s="6"/>
      <c r="C62" s="102"/>
    </row>
    <row r="63" spans="2:3" ht="28.5" customHeight="1">
      <c r="B63" s="53" t="s">
        <v>277</v>
      </c>
      <c r="C63" s="42" t="s">
        <v>397</v>
      </c>
    </row>
    <row r="64" spans="2:3" ht="12.75">
      <c r="B64" s="12" t="s">
        <v>278</v>
      </c>
      <c r="C64" s="42" t="s">
        <v>129</v>
      </c>
    </row>
    <row r="65" spans="2:3" ht="12.75">
      <c r="B65" s="12" t="s">
        <v>279</v>
      </c>
      <c r="C65" s="42" t="s">
        <v>398</v>
      </c>
    </row>
    <row r="66" spans="1:3" ht="12.75">
      <c r="A66" t="s">
        <v>297</v>
      </c>
      <c r="B66" t="s">
        <v>281</v>
      </c>
      <c r="C66" s="102" t="s">
        <v>298</v>
      </c>
    </row>
    <row r="67" spans="1:3" ht="12.75">
      <c r="A67" t="s">
        <v>297</v>
      </c>
      <c r="B67" s="12" t="s">
        <v>274</v>
      </c>
      <c r="C67" s="102" t="s">
        <v>299</v>
      </c>
    </row>
    <row r="68" spans="2:3" ht="12.75">
      <c r="B68" s="12" t="s">
        <v>433</v>
      </c>
      <c r="C68" s="106">
        <v>34090</v>
      </c>
    </row>
    <row r="69" ht="12.75">
      <c r="C69" s="102"/>
    </row>
    <row r="70" spans="2:3" ht="12.75">
      <c r="B70" s="6" t="s">
        <v>300</v>
      </c>
      <c r="C70" s="102"/>
    </row>
    <row r="71" spans="2:3" ht="12.75">
      <c r="B71" s="6"/>
      <c r="C71" s="102"/>
    </row>
    <row r="72" spans="2:3" ht="15.75" customHeight="1">
      <c r="B72" s="53" t="s">
        <v>277</v>
      </c>
      <c r="C72" s="42" t="s">
        <v>391</v>
      </c>
    </row>
    <row r="73" spans="2:3" ht="12.75">
      <c r="B73" s="12" t="s">
        <v>278</v>
      </c>
      <c r="C73" s="42"/>
    </row>
    <row r="74" spans="2:3" ht="12.75">
      <c r="B74" s="12" t="s">
        <v>279</v>
      </c>
      <c r="C74" s="42"/>
    </row>
    <row r="75" spans="1:3" ht="12.75">
      <c r="A75" t="s">
        <v>300</v>
      </c>
      <c r="B75" t="s">
        <v>281</v>
      </c>
      <c r="C75" s="102" t="s">
        <v>301</v>
      </c>
    </row>
    <row r="76" spans="1:3" ht="12.75">
      <c r="A76" t="s">
        <v>300</v>
      </c>
      <c r="B76" s="12" t="s">
        <v>274</v>
      </c>
      <c r="C76" s="102" t="s">
        <v>302</v>
      </c>
    </row>
    <row r="77" spans="1:3" ht="12.75">
      <c r="A77" t="s">
        <v>300</v>
      </c>
      <c r="B77" s="12" t="s">
        <v>433</v>
      </c>
      <c r="C77" s="106">
        <v>34180</v>
      </c>
    </row>
    <row r="78" ht="12.75">
      <c r="C78" s="102"/>
    </row>
    <row r="79" spans="2:3" ht="12.75">
      <c r="B79" s="6" t="s">
        <v>303</v>
      </c>
      <c r="C79" s="102"/>
    </row>
    <row r="80" spans="2:3" ht="12.75">
      <c r="B80" s="6"/>
      <c r="C80" s="102"/>
    </row>
    <row r="81" spans="2:3" ht="25.5">
      <c r="B81" s="53" t="s">
        <v>277</v>
      </c>
      <c r="C81" s="42" t="s">
        <v>404</v>
      </c>
    </row>
    <row r="82" spans="2:3" ht="12.75">
      <c r="B82" s="53" t="s">
        <v>278</v>
      </c>
      <c r="C82" s="42"/>
    </row>
    <row r="83" spans="2:3" ht="12.75">
      <c r="B83" s="53" t="s">
        <v>279</v>
      </c>
      <c r="C83" s="42"/>
    </row>
    <row r="84" spans="1:3" ht="12.75">
      <c r="A84" t="s">
        <v>303</v>
      </c>
      <c r="B84" s="103" t="s">
        <v>281</v>
      </c>
      <c r="C84" s="102" t="s">
        <v>304</v>
      </c>
    </row>
    <row r="85" spans="1:3" ht="12.75">
      <c r="A85" t="s">
        <v>303</v>
      </c>
      <c r="B85" s="12" t="s">
        <v>274</v>
      </c>
      <c r="C85" s="102" t="s">
        <v>305</v>
      </c>
    </row>
    <row r="86" spans="1:3" ht="12.75">
      <c r="A86" t="s">
        <v>303</v>
      </c>
      <c r="B86" s="12" t="s">
        <v>433</v>
      </c>
      <c r="C86" s="106">
        <v>34366</v>
      </c>
    </row>
    <row r="87" spans="2:3" ht="12.75">
      <c r="B87" s="103"/>
      <c r="C87" s="102"/>
    </row>
    <row r="88" spans="2:3" ht="12.75">
      <c r="B88" s="104" t="s">
        <v>306</v>
      </c>
      <c r="C88" s="102"/>
    </row>
    <row r="89" spans="2:3" ht="12.75">
      <c r="B89" s="104"/>
      <c r="C89" s="102"/>
    </row>
    <row r="90" spans="2:3" ht="25.5">
      <c r="B90" s="53" t="s">
        <v>277</v>
      </c>
      <c r="C90" s="42" t="s">
        <v>399</v>
      </c>
    </row>
    <row r="91" spans="2:3" ht="12.75">
      <c r="B91" s="53" t="s">
        <v>278</v>
      </c>
      <c r="C91" s="42" t="s">
        <v>129</v>
      </c>
    </row>
    <row r="92" spans="2:3" ht="12.75">
      <c r="B92" s="53" t="s">
        <v>279</v>
      </c>
      <c r="C92" s="42" t="s">
        <v>398</v>
      </c>
    </row>
    <row r="93" spans="1:3" ht="12.75">
      <c r="A93" t="s">
        <v>306</v>
      </c>
      <c r="B93" s="103" t="s">
        <v>281</v>
      </c>
      <c r="C93" s="102" t="s">
        <v>307</v>
      </c>
    </row>
    <row r="94" spans="1:3" ht="12.75">
      <c r="A94" t="s">
        <v>306</v>
      </c>
      <c r="B94" s="12" t="s">
        <v>274</v>
      </c>
      <c r="C94" s="102" t="s">
        <v>308</v>
      </c>
    </row>
    <row r="95" spans="1:3" ht="12.75">
      <c r="A95" t="s">
        <v>306</v>
      </c>
      <c r="B95" s="12" t="s">
        <v>433</v>
      </c>
      <c r="C95" s="106">
        <v>34425</v>
      </c>
    </row>
    <row r="96" spans="2:3" ht="12.75">
      <c r="B96" s="103"/>
      <c r="C96" s="102"/>
    </row>
    <row r="97" spans="2:3" ht="12.75">
      <c r="B97" s="104" t="s">
        <v>309</v>
      </c>
      <c r="C97" s="102"/>
    </row>
    <row r="98" spans="2:3" ht="12.75">
      <c r="B98" s="104"/>
      <c r="C98" s="102"/>
    </row>
    <row r="99" spans="2:3" ht="38.25">
      <c r="B99" s="53" t="s">
        <v>277</v>
      </c>
      <c r="C99" s="42" t="s">
        <v>396</v>
      </c>
    </row>
    <row r="100" spans="2:3" ht="12.75">
      <c r="B100" s="53" t="s">
        <v>278</v>
      </c>
      <c r="C100" s="42" t="s">
        <v>137</v>
      </c>
    </row>
    <row r="101" spans="2:3" ht="12.75">
      <c r="B101" s="53" t="s">
        <v>279</v>
      </c>
      <c r="C101" s="42" t="s">
        <v>123</v>
      </c>
    </row>
    <row r="102" spans="1:3" ht="12.75">
      <c r="A102" t="s">
        <v>309</v>
      </c>
      <c r="B102" s="103" t="s">
        <v>281</v>
      </c>
      <c r="C102" s="102" t="s">
        <v>310</v>
      </c>
    </row>
    <row r="103" spans="1:3" ht="12.75">
      <c r="A103" t="s">
        <v>309</v>
      </c>
      <c r="B103" s="12" t="s">
        <v>274</v>
      </c>
      <c r="C103" s="102" t="s">
        <v>311</v>
      </c>
    </row>
    <row r="104" spans="1:3" ht="12.75">
      <c r="A104" t="s">
        <v>309</v>
      </c>
      <c r="B104" s="12" t="s">
        <v>433</v>
      </c>
      <c r="C104" s="106">
        <v>34455</v>
      </c>
    </row>
    <row r="105" spans="2:3" ht="12.75">
      <c r="B105" s="103"/>
      <c r="C105" s="102"/>
    </row>
    <row r="106" spans="2:3" ht="12.75">
      <c r="B106" s="104" t="s">
        <v>312</v>
      </c>
      <c r="C106" s="102"/>
    </row>
    <row r="107" spans="2:3" ht="12.75">
      <c r="B107" s="104"/>
      <c r="C107" s="102"/>
    </row>
    <row r="108" spans="2:3" ht="38.25">
      <c r="B108" s="53" t="s">
        <v>277</v>
      </c>
      <c r="C108" s="42" t="s">
        <v>394</v>
      </c>
    </row>
    <row r="109" spans="2:3" ht="12.75">
      <c r="B109" s="53" t="s">
        <v>278</v>
      </c>
      <c r="C109" s="42" t="s">
        <v>137</v>
      </c>
    </row>
    <row r="110" spans="2:3" ht="12.75">
      <c r="B110" s="53" t="s">
        <v>279</v>
      </c>
      <c r="C110" s="42" t="s">
        <v>123</v>
      </c>
    </row>
    <row r="111" spans="1:3" ht="12.75">
      <c r="A111" t="s">
        <v>312</v>
      </c>
      <c r="B111" s="103" t="s">
        <v>281</v>
      </c>
      <c r="C111" s="102" t="s">
        <v>313</v>
      </c>
    </row>
    <row r="112" spans="2:3" ht="12.75">
      <c r="B112" s="12" t="s">
        <v>274</v>
      </c>
      <c r="C112" s="102" t="s">
        <v>314</v>
      </c>
    </row>
    <row r="113" spans="2:3" ht="12.75">
      <c r="B113" s="12" t="s">
        <v>433</v>
      </c>
      <c r="C113" s="106">
        <v>34486</v>
      </c>
    </row>
    <row r="114" spans="2:3" ht="12.75">
      <c r="B114" s="103"/>
      <c r="C114" s="102"/>
    </row>
    <row r="115" spans="2:3" ht="12.75">
      <c r="B115" s="104" t="s">
        <v>315</v>
      </c>
      <c r="C115" s="102"/>
    </row>
    <row r="116" spans="2:3" ht="12.75">
      <c r="B116" s="104"/>
      <c r="C116" s="102"/>
    </row>
    <row r="117" spans="2:3" ht="38.25">
      <c r="B117" s="53" t="s">
        <v>277</v>
      </c>
      <c r="C117" s="42" t="s">
        <v>393</v>
      </c>
    </row>
    <row r="118" spans="2:3" ht="12.75">
      <c r="B118" s="53" t="s">
        <v>278</v>
      </c>
      <c r="C118" s="42" t="s">
        <v>137</v>
      </c>
    </row>
    <row r="119" spans="2:3" ht="12.75">
      <c r="B119" s="53" t="s">
        <v>279</v>
      </c>
      <c r="C119" s="42" t="s">
        <v>123</v>
      </c>
    </row>
    <row r="120" spans="1:3" ht="12.75">
      <c r="A120" t="s">
        <v>315</v>
      </c>
      <c r="B120" s="103" t="s">
        <v>281</v>
      </c>
      <c r="C120" s="102" t="s">
        <v>313</v>
      </c>
    </row>
    <row r="121" spans="2:3" ht="12.75">
      <c r="B121" s="12" t="s">
        <v>274</v>
      </c>
      <c r="C121" s="107">
        <v>34578</v>
      </c>
    </row>
    <row r="122" spans="2:3" ht="12.75">
      <c r="B122" s="12" t="s">
        <v>433</v>
      </c>
      <c r="C122" s="106">
        <v>34578</v>
      </c>
    </row>
    <row r="123" spans="2:3" ht="12.75">
      <c r="B123" s="103"/>
      <c r="C123" s="102"/>
    </row>
    <row r="124" spans="2:3" ht="12.75">
      <c r="B124" s="104" t="s">
        <v>280</v>
      </c>
      <c r="C124" s="102"/>
    </row>
    <row r="125" spans="2:3" ht="12.75">
      <c r="B125" s="104"/>
      <c r="C125" s="102"/>
    </row>
    <row r="126" spans="2:3" ht="38.25">
      <c r="B126" s="53" t="s">
        <v>277</v>
      </c>
      <c r="C126" s="42" t="s">
        <v>395</v>
      </c>
    </row>
    <row r="127" spans="2:3" ht="12.75">
      <c r="B127" s="53" t="s">
        <v>278</v>
      </c>
      <c r="C127" s="42" t="s">
        <v>137</v>
      </c>
    </row>
    <row r="128" spans="2:3" ht="12.75">
      <c r="B128" s="53" t="s">
        <v>279</v>
      </c>
      <c r="C128" s="42" t="s">
        <v>123</v>
      </c>
    </row>
    <row r="129" spans="2:3" ht="12.75">
      <c r="B129" s="103" t="s">
        <v>281</v>
      </c>
      <c r="C129" s="102" t="s">
        <v>282</v>
      </c>
    </row>
    <row r="130" spans="2:3" ht="12.75">
      <c r="B130" s="12" t="s">
        <v>274</v>
      </c>
      <c r="C130" s="107">
        <v>34683</v>
      </c>
    </row>
    <row r="131" spans="2:3" ht="12.75">
      <c r="B131" s="12" t="s">
        <v>433</v>
      </c>
      <c r="C131" s="106">
        <v>34669</v>
      </c>
    </row>
    <row r="132" spans="2:3" ht="12.75">
      <c r="B132" s="103"/>
      <c r="C132" s="102"/>
    </row>
    <row r="133" spans="2:3" ht="12.75">
      <c r="B133" s="104" t="s">
        <v>283</v>
      </c>
      <c r="C133" s="102"/>
    </row>
    <row r="134" spans="2:3" ht="12.75">
      <c r="B134" s="104"/>
      <c r="C134" s="102"/>
    </row>
    <row r="135" spans="2:3" ht="38.25">
      <c r="B135" s="53" t="s">
        <v>277</v>
      </c>
      <c r="C135" s="42" t="s">
        <v>392</v>
      </c>
    </row>
    <row r="136" spans="2:3" ht="12.75">
      <c r="B136" s="53" t="s">
        <v>278</v>
      </c>
      <c r="C136" s="42" t="s">
        <v>137</v>
      </c>
    </row>
    <row r="137" spans="2:3" ht="12.75">
      <c r="B137" s="53" t="s">
        <v>279</v>
      </c>
      <c r="C137" s="42" t="s">
        <v>123</v>
      </c>
    </row>
    <row r="138" spans="2:3" ht="12.75">
      <c r="B138" s="103" t="s">
        <v>281</v>
      </c>
      <c r="C138" s="102" t="s">
        <v>282</v>
      </c>
    </row>
    <row r="139" spans="2:3" ht="12.75">
      <c r="B139" s="12" t="s">
        <v>274</v>
      </c>
      <c r="C139" s="107">
        <v>34744</v>
      </c>
    </row>
    <row r="140" spans="2:3" ht="12.75">
      <c r="B140" s="12" t="s">
        <v>433</v>
      </c>
      <c r="C140" s="106">
        <v>34731</v>
      </c>
    </row>
    <row r="141" spans="2:3" ht="12.75">
      <c r="B141" s="103"/>
      <c r="C141" s="102"/>
    </row>
    <row r="142" spans="2:3" ht="12.75">
      <c r="B142" s="104" t="s">
        <v>284</v>
      </c>
      <c r="C142" s="102"/>
    </row>
    <row r="143" spans="2:3" ht="12.75">
      <c r="B143" s="104"/>
      <c r="C143" s="102"/>
    </row>
    <row r="144" spans="2:3" ht="38.25">
      <c r="B144" s="53" t="s">
        <v>277</v>
      </c>
      <c r="C144" s="42" t="s">
        <v>390</v>
      </c>
    </row>
    <row r="145" spans="2:3" ht="12.75">
      <c r="B145" s="53" t="s">
        <v>278</v>
      </c>
      <c r="C145" s="42" t="s">
        <v>137</v>
      </c>
    </row>
    <row r="146" spans="2:3" ht="12.75">
      <c r="B146" s="53" t="s">
        <v>279</v>
      </c>
      <c r="C146" s="42" t="s">
        <v>123</v>
      </c>
    </row>
    <row r="147" spans="2:3" ht="12.75">
      <c r="B147" s="103" t="s">
        <v>281</v>
      </c>
      <c r="C147" s="102" t="s">
        <v>285</v>
      </c>
    </row>
    <row r="148" spans="2:3" ht="12.75">
      <c r="B148" s="12" t="s">
        <v>274</v>
      </c>
      <c r="C148" s="102" t="s">
        <v>434</v>
      </c>
    </row>
    <row r="149" spans="2:3" ht="12.75">
      <c r="B149" s="12" t="s">
        <v>433</v>
      </c>
      <c r="C149" s="106">
        <v>34954</v>
      </c>
    </row>
    <row r="150" spans="2:3" ht="12.75">
      <c r="B150" s="103"/>
      <c r="C150" s="102"/>
    </row>
    <row r="151" spans="2:3" ht="12.75">
      <c r="B151" s="104" t="s">
        <v>286</v>
      </c>
      <c r="C151" s="102"/>
    </row>
    <row r="152" spans="2:3" ht="12.75">
      <c r="B152" s="104"/>
      <c r="C152" s="102"/>
    </row>
    <row r="153" spans="2:3" ht="25.5">
      <c r="B153" s="53" t="s">
        <v>277</v>
      </c>
      <c r="C153" s="42" t="s">
        <v>402</v>
      </c>
    </row>
    <row r="154" spans="2:3" ht="12.75">
      <c r="B154" s="53" t="s">
        <v>278</v>
      </c>
      <c r="C154" s="42" t="s">
        <v>137</v>
      </c>
    </row>
    <row r="155" spans="2:3" ht="12.75">
      <c r="B155" s="53" t="s">
        <v>279</v>
      </c>
      <c r="C155" s="42" t="s">
        <v>123</v>
      </c>
    </row>
    <row r="156" spans="2:3" ht="12.75">
      <c r="B156" s="103" t="s">
        <v>281</v>
      </c>
      <c r="C156" s="102" t="s">
        <v>287</v>
      </c>
    </row>
    <row r="157" spans="2:3" ht="12.75">
      <c r="B157" s="12" t="s">
        <v>274</v>
      </c>
      <c r="C157" s="107">
        <v>34547</v>
      </c>
    </row>
    <row r="158" spans="2:3" ht="12.75">
      <c r="B158" s="12" t="s">
        <v>433</v>
      </c>
      <c r="C158" s="106">
        <v>34547</v>
      </c>
    </row>
    <row r="159" spans="2:3" ht="12.75">
      <c r="B159" s="103"/>
      <c r="C159" s="102"/>
    </row>
    <row r="160" spans="2:3" ht="12.75">
      <c r="B160" s="104" t="s">
        <v>288</v>
      </c>
      <c r="C160" s="102"/>
    </row>
    <row r="161" spans="2:3" ht="12.75">
      <c r="B161" s="104"/>
      <c r="C161" s="102"/>
    </row>
    <row r="162" spans="2:3" ht="25.5">
      <c r="B162" s="53" t="s">
        <v>277</v>
      </c>
      <c r="C162" s="42" t="s">
        <v>403</v>
      </c>
    </row>
    <row r="163" spans="2:3" ht="12.75">
      <c r="B163" s="53" t="s">
        <v>278</v>
      </c>
      <c r="C163" s="42" t="s">
        <v>137</v>
      </c>
    </row>
    <row r="164" spans="2:3" ht="12.75">
      <c r="B164" s="53" t="s">
        <v>279</v>
      </c>
      <c r="C164" s="42" t="s">
        <v>123</v>
      </c>
    </row>
    <row r="165" spans="2:3" ht="12.75">
      <c r="B165" s="103" t="s">
        <v>281</v>
      </c>
      <c r="C165" s="102" t="s">
        <v>289</v>
      </c>
    </row>
    <row r="166" spans="2:3" ht="12.75">
      <c r="B166" s="12" t="s">
        <v>274</v>
      </c>
      <c r="C166" s="108">
        <v>34669</v>
      </c>
    </row>
    <row r="167" spans="2:3" ht="12.75">
      <c r="B167" s="12" t="s">
        <v>433</v>
      </c>
      <c r="C167" s="87">
        <v>34669</v>
      </c>
    </row>
    <row r="169" ht="12.75">
      <c r="B169" s="6" t="s">
        <v>290</v>
      </c>
    </row>
    <row r="170" ht="12.75">
      <c r="B170" s="6"/>
    </row>
    <row r="171" spans="2:3" ht="25.5">
      <c r="B171" s="53" t="s">
        <v>277</v>
      </c>
      <c r="C171" s="47" t="s">
        <v>400</v>
      </c>
    </row>
    <row r="172" spans="2:3" ht="12.75">
      <c r="B172" s="12" t="s">
        <v>278</v>
      </c>
      <c r="C172" s="12" t="s">
        <v>129</v>
      </c>
    </row>
    <row r="173" spans="2:3" ht="12.75">
      <c r="B173" s="12" t="s">
        <v>279</v>
      </c>
      <c r="C173" s="12" t="s">
        <v>401</v>
      </c>
    </row>
    <row r="174" spans="2:3" ht="12.75">
      <c r="B174" t="s">
        <v>281</v>
      </c>
      <c r="C174" s="86" t="s">
        <v>482</v>
      </c>
    </row>
    <row r="175" spans="2:3" ht="12.75">
      <c r="B175" s="12" t="s">
        <v>274</v>
      </c>
      <c r="C175" s="86" t="s">
        <v>435</v>
      </c>
    </row>
    <row r="176" spans="2:3" ht="12.75">
      <c r="B176" s="12" t="s">
        <v>433</v>
      </c>
      <c r="C176" s="87">
        <v>34243</v>
      </c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83"/>
  <sheetViews>
    <sheetView zoomScale="70" zoomScaleNormal="70" workbookViewId="0" topLeftCell="B1">
      <selection activeCell="B2" sqref="B2"/>
    </sheetView>
  </sheetViews>
  <sheetFormatPr defaultColWidth="9.140625" defaultRowHeight="12.75"/>
  <cols>
    <col min="1" max="1" width="5.00390625" style="17" customWidth="1"/>
    <col min="2" max="2" width="21.140625" style="17" customWidth="1"/>
    <col min="3" max="3" width="7.140625" style="17" customWidth="1"/>
    <col min="4" max="4" width="8.8515625" style="8" customWidth="1"/>
    <col min="5" max="5" width="6.140625" style="8" customWidth="1"/>
    <col min="6" max="6" width="5.00390625" style="19" customWidth="1"/>
    <col min="7" max="7" width="11.28125" style="17" customWidth="1"/>
    <col min="8" max="8" width="6.28125" style="19" customWidth="1"/>
    <col min="9" max="9" width="11.00390625" style="18" customWidth="1"/>
    <col min="10" max="10" width="3.57421875" style="19" customWidth="1"/>
    <col min="11" max="11" width="10.8515625" style="17" customWidth="1"/>
    <col min="12" max="12" width="3.57421875" style="19" customWidth="1"/>
    <col min="13" max="13" width="10.8515625" style="17" customWidth="1"/>
    <col min="14" max="14" width="3.57421875" style="19" customWidth="1"/>
    <col min="15" max="15" width="10.8515625" style="17" customWidth="1"/>
    <col min="16" max="16" width="3.57421875" style="19" customWidth="1"/>
    <col min="17" max="17" width="9.00390625" style="17" customWidth="1"/>
    <col min="18" max="18" width="4.7109375" style="19" customWidth="1"/>
    <col min="19" max="19" width="9.57421875" style="17" customWidth="1"/>
    <col min="20" max="20" width="2.140625" style="17" customWidth="1"/>
    <col min="21" max="16384" width="8.8515625" style="17" customWidth="1"/>
  </cols>
  <sheetData>
    <row r="1" spans="2:3" ht="12.75">
      <c r="B1" s="16" t="s">
        <v>386</v>
      </c>
      <c r="C1" s="16"/>
    </row>
    <row r="2" spans="2:17" ht="12.75">
      <c r="B2" s="19"/>
      <c r="C2" s="19"/>
      <c r="G2" s="19"/>
      <c r="I2" s="20"/>
      <c r="K2" s="19"/>
      <c r="M2" s="19"/>
      <c r="O2" s="19"/>
      <c r="Q2" s="19"/>
    </row>
    <row r="3" spans="2:5" ht="12.75">
      <c r="B3" s="12"/>
      <c r="C3" s="12" t="s">
        <v>86</v>
      </c>
      <c r="D3" s="8" t="s">
        <v>12</v>
      </c>
      <c r="E3" s="8" t="s">
        <v>69</v>
      </c>
    </row>
    <row r="4" spans="2:17" ht="12.75">
      <c r="B4" s="12"/>
      <c r="C4" s="12"/>
      <c r="G4" s="19"/>
      <c r="I4" s="20"/>
      <c r="K4" s="19"/>
      <c r="M4" s="19"/>
      <c r="O4" s="19"/>
      <c r="Q4" s="19"/>
    </row>
    <row r="5" spans="2:17" ht="12.75">
      <c r="B5" s="12"/>
      <c r="C5" s="12"/>
      <c r="G5" s="19"/>
      <c r="I5" s="20"/>
      <c r="K5" s="19"/>
      <c r="M5" s="19"/>
      <c r="O5" s="19"/>
      <c r="Q5" s="19"/>
    </row>
    <row r="6" spans="1:19" ht="12.75">
      <c r="A6" s="17">
        <v>10</v>
      </c>
      <c r="B6" s="21" t="s">
        <v>140</v>
      </c>
      <c r="C6" s="21" t="s">
        <v>141</v>
      </c>
      <c r="G6" s="19" t="s">
        <v>316</v>
      </c>
      <c r="I6" s="20" t="s">
        <v>317</v>
      </c>
      <c r="K6" s="19" t="s">
        <v>318</v>
      </c>
      <c r="M6" s="19" t="s">
        <v>319</v>
      </c>
      <c r="O6" s="19" t="s">
        <v>320</v>
      </c>
      <c r="Q6" s="19" t="s">
        <v>321</v>
      </c>
      <c r="S6" s="17" t="s">
        <v>47</v>
      </c>
    </row>
    <row r="7" spans="2:18" ht="12.75">
      <c r="B7" s="8"/>
      <c r="C7" s="8"/>
      <c r="D7" s="12"/>
      <c r="E7" s="12"/>
      <c r="F7" s="45"/>
      <c r="G7" s="12"/>
      <c r="H7" s="45"/>
      <c r="I7" s="22"/>
      <c r="J7" s="45"/>
      <c r="K7" s="12"/>
      <c r="L7" s="45"/>
      <c r="M7" s="12"/>
      <c r="N7" s="45"/>
      <c r="O7" s="12"/>
      <c r="P7" s="45"/>
      <c r="Q7" s="12"/>
      <c r="R7" s="45"/>
    </row>
    <row r="8" spans="2:19" ht="12.75">
      <c r="B8" s="8" t="s">
        <v>108</v>
      </c>
      <c r="C8" s="8"/>
      <c r="D8" s="12" t="s">
        <v>16</v>
      </c>
      <c r="E8" s="12"/>
      <c r="F8" s="50"/>
      <c r="G8"/>
      <c r="H8" s="50"/>
      <c r="I8"/>
      <c r="J8" s="50"/>
      <c r="K8"/>
      <c r="L8" s="50"/>
      <c r="M8"/>
      <c r="N8" s="50"/>
      <c r="O8"/>
      <c r="P8" s="50"/>
      <c r="Q8"/>
      <c r="R8" s="50"/>
      <c r="S8" s="56"/>
    </row>
    <row r="9" spans="2:19" ht="12.75">
      <c r="B9" s="8" t="s">
        <v>110</v>
      </c>
      <c r="C9" s="8"/>
      <c r="D9" s="12" t="s">
        <v>16</v>
      </c>
      <c r="E9" s="12"/>
      <c r="F9" s="50"/>
      <c r="G9"/>
      <c r="H9" s="50"/>
      <c r="I9"/>
      <c r="J9" s="50"/>
      <c r="K9"/>
      <c r="L9" s="50"/>
      <c r="M9"/>
      <c r="N9" s="50"/>
      <c r="O9"/>
      <c r="P9" s="50"/>
      <c r="Q9"/>
      <c r="R9" s="50"/>
      <c r="S9" s="56"/>
    </row>
    <row r="10" spans="2:18" ht="12.75">
      <c r="B10" s="8"/>
      <c r="C10" s="8"/>
      <c r="D10" s="12"/>
      <c r="E10" s="12"/>
      <c r="F10" s="50"/>
      <c r="G10"/>
      <c r="H10" s="50"/>
      <c r="I10"/>
      <c r="J10" s="50"/>
      <c r="K10"/>
      <c r="L10" s="50"/>
      <c r="M10"/>
      <c r="N10" s="50"/>
      <c r="O10"/>
      <c r="P10" s="50"/>
      <c r="Q10"/>
      <c r="R10" s="50"/>
    </row>
    <row r="11" spans="2:19" ht="12.75">
      <c r="B11" s="8" t="s">
        <v>13</v>
      </c>
      <c r="C11" s="8" t="s">
        <v>421</v>
      </c>
      <c r="D11" s="8" t="s">
        <v>14</v>
      </c>
      <c r="E11" s="8" t="s">
        <v>15</v>
      </c>
      <c r="F11" s="50"/>
      <c r="G11" s="69">
        <v>0.0068</v>
      </c>
      <c r="H11" s="110"/>
      <c r="I11" s="69">
        <v>0.0108</v>
      </c>
      <c r="J11" s="110"/>
      <c r="K11" s="69">
        <v>0.0054</v>
      </c>
      <c r="L11" s="110"/>
      <c r="M11" s="69">
        <v>0.0043</v>
      </c>
      <c r="N11" s="110"/>
      <c r="O11" s="69">
        <v>0.0036</v>
      </c>
      <c r="P11" s="110"/>
      <c r="Q11" s="69"/>
      <c r="R11" s="110"/>
      <c r="S11" s="69">
        <f>AVERAGE(K11,I11,G11,M11,O11)</f>
        <v>0.00618</v>
      </c>
    </row>
    <row r="12" spans="2:19" ht="12.75">
      <c r="B12" s="8"/>
      <c r="C12" s="8"/>
      <c r="F12" s="50"/>
      <c r="G12"/>
      <c r="H12" s="50"/>
      <c r="I12"/>
      <c r="J12" s="50"/>
      <c r="K12"/>
      <c r="L12" s="50"/>
      <c r="M12"/>
      <c r="N12" s="50"/>
      <c r="O12"/>
      <c r="P12" s="50"/>
      <c r="Q12"/>
      <c r="R12" s="50"/>
      <c r="S12" s="54"/>
    </row>
    <row r="13" spans="2:19" ht="12.75">
      <c r="B13" s="8" t="s">
        <v>50</v>
      </c>
      <c r="C13" s="8"/>
      <c r="D13" s="8" t="s">
        <v>53</v>
      </c>
      <c r="F13" s="50" t="s">
        <v>102</v>
      </c>
      <c r="G13" s="54">
        <v>0.0048</v>
      </c>
      <c r="H13" s="111" t="s">
        <v>102</v>
      </c>
      <c r="I13" s="54">
        <v>0.0048</v>
      </c>
      <c r="J13" s="111" t="s">
        <v>102</v>
      </c>
      <c r="K13" s="54">
        <v>0.0043</v>
      </c>
      <c r="L13" s="111" t="s">
        <v>102</v>
      </c>
      <c r="M13" s="54">
        <v>0.0047</v>
      </c>
      <c r="N13" s="111" t="s">
        <v>102</v>
      </c>
      <c r="O13" s="54">
        <v>0.0046</v>
      </c>
      <c r="P13" s="111" t="s">
        <v>102</v>
      </c>
      <c r="Q13" s="54">
        <v>0.0048</v>
      </c>
      <c r="R13" s="117"/>
      <c r="S13" s="54">
        <f>AVERAGE(K13,I13,G13,M13,O13)</f>
        <v>0.00464</v>
      </c>
    </row>
    <row r="14" spans="2:19" ht="12.75">
      <c r="B14" s="8" t="s">
        <v>51</v>
      </c>
      <c r="C14" s="8"/>
      <c r="D14" s="8" t="s">
        <v>53</v>
      </c>
      <c r="F14" s="50"/>
      <c r="G14" s="69"/>
      <c r="H14" s="110"/>
      <c r="I14" s="69"/>
      <c r="J14" s="110"/>
      <c r="K14" s="69"/>
      <c r="L14" s="110"/>
      <c r="M14" s="69"/>
      <c r="N14" s="110"/>
      <c r="O14" s="69"/>
      <c r="P14" s="110"/>
      <c r="Q14" s="69"/>
      <c r="R14" s="117"/>
      <c r="S14" s="69"/>
    </row>
    <row r="15" spans="2:19" ht="12.75">
      <c r="B15" s="8"/>
      <c r="C15" s="8"/>
      <c r="F15" s="50"/>
      <c r="G15"/>
      <c r="H15" s="50"/>
      <c r="I15"/>
      <c r="J15" s="50"/>
      <c r="K15"/>
      <c r="L15" s="50"/>
      <c r="M15"/>
      <c r="N15" s="50"/>
      <c r="O15"/>
      <c r="P15" s="50"/>
      <c r="Q15"/>
      <c r="R15" s="117"/>
      <c r="S15" s="54"/>
    </row>
    <row r="16" spans="2:19" ht="12.75">
      <c r="B16" s="8" t="s">
        <v>50</v>
      </c>
      <c r="C16" s="8" t="s">
        <v>421</v>
      </c>
      <c r="D16" s="8" t="s">
        <v>16</v>
      </c>
      <c r="E16" s="8" t="s">
        <v>15</v>
      </c>
      <c r="F16" s="50" t="s">
        <v>102</v>
      </c>
      <c r="G16" s="60">
        <f>G13/36.5*386.7/60/G$34*1000000*(21-7)/(21-G$35)</f>
        <v>0.03198030677542566</v>
      </c>
      <c r="H16" s="112" t="s">
        <v>102</v>
      </c>
      <c r="I16" s="60">
        <f>I13/36.5*386.7/60/I$34*1000000*(21-7)/(21-I$35)</f>
        <v>0.035718031672617216</v>
      </c>
      <c r="J16" s="112" t="s">
        <v>102</v>
      </c>
      <c r="K16" s="60">
        <f>K13/36.5*386.7/60/K$34*1000000*(21-7)/(21-K$35)</f>
        <v>0.032163634936790544</v>
      </c>
      <c r="L16" s="112" t="s">
        <v>102</v>
      </c>
      <c r="M16" s="60">
        <f>M13/36.5*386.7/60/M$34*1000000*(21-7)/(21-M$35)</f>
        <v>0.03110091527090736</v>
      </c>
      <c r="N16" s="112" t="s">
        <v>102</v>
      </c>
      <c r="O16" s="60">
        <f>O13/36.5*386.7/60/O$34*1000000*(21-7)/(21-O$35)</f>
        <v>0.029526441693164204</v>
      </c>
      <c r="P16" s="112" t="s">
        <v>102</v>
      </c>
      <c r="Q16" s="60">
        <f>Q13/36.5*386.7/60/Q$34*1000000*(21-7)/(21-Q$35)</f>
        <v>0.03093340667575604</v>
      </c>
      <c r="R16" s="117">
        <v>100</v>
      </c>
      <c r="S16" s="60">
        <f>AVERAGE(K16,I16,G16,M16,O16)</f>
        <v>0.032097866069780996</v>
      </c>
    </row>
    <row r="17" spans="2:19" ht="12.75">
      <c r="B17" s="8"/>
      <c r="C17" s="8"/>
      <c r="F17" s="50"/>
      <c r="G17" s="60"/>
      <c r="H17" s="112"/>
      <c r="I17" s="60"/>
      <c r="J17" s="112"/>
      <c r="K17" s="60"/>
      <c r="L17" s="112"/>
      <c r="M17" s="60"/>
      <c r="N17" s="112"/>
      <c r="O17" s="60"/>
      <c r="P17" s="112"/>
      <c r="Q17" s="60"/>
      <c r="R17" s="112"/>
      <c r="S17" s="60"/>
    </row>
    <row r="18" spans="2:19" ht="12.75">
      <c r="B18" s="8"/>
      <c r="C18" s="8"/>
      <c r="F18" s="50"/>
      <c r="G18" s="60"/>
      <c r="H18" s="112"/>
      <c r="I18" s="60"/>
      <c r="J18" s="112"/>
      <c r="K18" s="60"/>
      <c r="L18" s="112"/>
      <c r="M18" s="60"/>
      <c r="N18" s="112"/>
      <c r="O18" s="60"/>
      <c r="P18" s="112"/>
      <c r="Q18" s="60"/>
      <c r="R18" s="112"/>
      <c r="S18" s="60"/>
    </row>
    <row r="19" spans="2:19" ht="12.75">
      <c r="B19" s="8"/>
      <c r="C19" s="8"/>
      <c r="F19" s="50"/>
      <c r="G19"/>
      <c r="H19" s="50"/>
      <c r="I19"/>
      <c r="J19" s="50"/>
      <c r="K19"/>
      <c r="L19" s="50"/>
      <c r="M19"/>
      <c r="N19" s="50"/>
      <c r="O19"/>
      <c r="P19" s="50"/>
      <c r="Q19"/>
      <c r="R19" s="50"/>
      <c r="S19" s="5"/>
    </row>
    <row r="20" spans="2:19" ht="12.75">
      <c r="B20" s="8" t="s">
        <v>111</v>
      </c>
      <c r="C20" s="8" t="s">
        <v>144</v>
      </c>
      <c r="G20" s="23"/>
      <c r="I20" s="24"/>
      <c r="K20" s="23"/>
      <c r="M20" s="23"/>
      <c r="O20" s="23"/>
      <c r="Q20" s="23"/>
      <c r="S20" s="55"/>
    </row>
    <row r="21" spans="2:19" ht="12.75">
      <c r="B21" s="8" t="s">
        <v>112</v>
      </c>
      <c r="C21" s="8"/>
      <c r="D21" s="8" t="s">
        <v>53</v>
      </c>
      <c r="G21" s="70">
        <f>AVERAGE(299.8,300,299.7)</f>
        <v>299.8333333333333</v>
      </c>
      <c r="H21" s="113"/>
      <c r="I21" s="70">
        <f>AVERAGE(299.8,299.8,300)</f>
        <v>299.8666666666667</v>
      </c>
      <c r="J21" s="113"/>
      <c r="K21" s="70">
        <f>AVERAGE(299.8,300,300)</f>
        <v>299.93333333333334</v>
      </c>
      <c r="L21" s="113"/>
      <c r="M21" s="70"/>
      <c r="N21" s="113"/>
      <c r="O21" s="70"/>
      <c r="P21" s="113"/>
      <c r="Q21" s="70"/>
      <c r="S21" s="55">
        <f>AVERAGE(G21,I21,K21)</f>
        <v>299.8777777777778</v>
      </c>
    </row>
    <row r="22" spans="2:19" ht="12.75">
      <c r="B22" s="8" t="s">
        <v>113</v>
      </c>
      <c r="C22" s="8" t="s">
        <v>423</v>
      </c>
      <c r="D22" s="8" t="s">
        <v>53</v>
      </c>
      <c r="G22" s="57">
        <f>AVERAGE(0.000116,0.000114,0.000114)</f>
        <v>0.00011466666666666667</v>
      </c>
      <c r="I22" s="57">
        <f>AVERAGE(0.000209,0.000216,0.000189)</f>
        <v>0.0002046666666666667</v>
      </c>
      <c r="K22" s="57">
        <f>AVERAGE(0.000142,0.000152,0.000128)</f>
        <v>0.00014066666666666665</v>
      </c>
      <c r="M22" s="57"/>
      <c r="O22" s="57"/>
      <c r="Q22" s="57"/>
      <c r="S22" s="25">
        <f>AVERAGE(G22,I22,K22)</f>
        <v>0.00015333333333333334</v>
      </c>
    </row>
    <row r="23" spans="2:19" ht="12.75">
      <c r="B23" s="8" t="s">
        <v>52</v>
      </c>
      <c r="C23" s="8" t="s">
        <v>423</v>
      </c>
      <c r="D23" s="8" t="s">
        <v>18</v>
      </c>
      <c r="G23" s="74">
        <f>(G21-G22)/G21*100</f>
        <v>99.9999617565314</v>
      </c>
      <c r="H23" s="114"/>
      <c r="I23" s="74">
        <f>(I21-I22)/I21*100</f>
        <v>99.9999317474433</v>
      </c>
      <c r="J23" s="114"/>
      <c r="K23" s="74">
        <f>(K21-K22)/K21*100</f>
        <v>99.99995310068904</v>
      </c>
      <c r="L23" s="114"/>
      <c r="M23" s="62"/>
      <c r="N23" s="114"/>
      <c r="O23" s="62"/>
      <c r="P23" s="114"/>
      <c r="Q23" s="62"/>
      <c r="S23" s="74">
        <f>(S21-S22)/S21*100</f>
        <v>99.99994886805736</v>
      </c>
    </row>
    <row r="24" spans="2:19" ht="12.75">
      <c r="B24" s="8"/>
      <c r="C24" s="8"/>
      <c r="F24" s="50"/>
      <c r="G24"/>
      <c r="H24" s="50"/>
      <c r="I24"/>
      <c r="J24" s="50"/>
      <c r="K24"/>
      <c r="L24" s="50"/>
      <c r="M24"/>
      <c r="N24" s="50"/>
      <c r="O24"/>
      <c r="P24" s="50"/>
      <c r="Q24"/>
      <c r="R24" s="50"/>
      <c r="S24" s="5"/>
    </row>
    <row r="25" spans="2:19" ht="12.75">
      <c r="B25" s="8" t="s">
        <v>105</v>
      </c>
      <c r="C25" s="8"/>
      <c r="D25" s="8" t="s">
        <v>53</v>
      </c>
      <c r="F25" s="50"/>
      <c r="G25" s="64">
        <v>9.43E-05</v>
      </c>
      <c r="H25" s="50"/>
      <c r="I25" s="64">
        <v>5.64E-05</v>
      </c>
      <c r="J25" s="50"/>
      <c r="K25" s="64">
        <v>4.59E-05</v>
      </c>
      <c r="L25" s="50"/>
      <c r="M25" s="64"/>
      <c r="N25" s="50"/>
      <c r="O25" s="64"/>
      <c r="P25" s="50"/>
      <c r="Q25" s="64"/>
      <c r="R25" s="50"/>
      <c r="S25" s="64">
        <f aca="true" t="shared" si="0" ref="S25:S31">AVERAGE(G25,I25,K25)</f>
        <v>6.553333333333333E-05</v>
      </c>
    </row>
    <row r="26" spans="2:19" ht="12.75">
      <c r="B26" s="8" t="s">
        <v>84</v>
      </c>
      <c r="C26" s="8"/>
      <c r="D26" s="8" t="s">
        <v>53</v>
      </c>
      <c r="F26" s="50" t="s">
        <v>102</v>
      </c>
      <c r="G26" s="64">
        <v>9.43E-06</v>
      </c>
      <c r="H26" s="50" t="s">
        <v>102</v>
      </c>
      <c r="I26" s="64">
        <v>9.39E-06</v>
      </c>
      <c r="J26" s="50" t="s">
        <v>102</v>
      </c>
      <c r="K26" s="64">
        <v>9.17E-06</v>
      </c>
      <c r="L26" s="50"/>
      <c r="M26" s="64"/>
      <c r="N26" s="50"/>
      <c r="O26" s="64"/>
      <c r="P26" s="50"/>
      <c r="Q26" s="64"/>
      <c r="R26" s="50"/>
      <c r="S26" s="64">
        <f t="shared" si="0"/>
        <v>9.33E-06</v>
      </c>
    </row>
    <row r="27" spans="2:19" ht="12.75">
      <c r="B27" s="8" t="s">
        <v>106</v>
      </c>
      <c r="C27" s="8"/>
      <c r="D27" s="8" t="s">
        <v>53</v>
      </c>
      <c r="F27" s="50"/>
      <c r="G27" s="64">
        <v>8.39E-05</v>
      </c>
      <c r="H27" s="50"/>
      <c r="I27" s="64">
        <v>0.000126</v>
      </c>
      <c r="J27" s="50"/>
      <c r="K27" s="64">
        <v>6.61E-05</v>
      </c>
      <c r="L27" s="50"/>
      <c r="M27" s="64"/>
      <c r="N27" s="50"/>
      <c r="O27" s="64"/>
      <c r="P27" s="50"/>
      <c r="Q27" s="64"/>
      <c r="R27" s="50"/>
      <c r="S27" s="64">
        <f t="shared" si="0"/>
        <v>9.2E-05</v>
      </c>
    </row>
    <row r="28" spans="2:19" ht="12.75">
      <c r="B28" s="8" t="s">
        <v>145</v>
      </c>
      <c r="C28" s="8"/>
      <c r="D28" s="8" t="s">
        <v>53</v>
      </c>
      <c r="F28" s="50" t="s">
        <v>102</v>
      </c>
      <c r="G28" s="64">
        <v>0.000443</v>
      </c>
      <c r="H28" s="50"/>
      <c r="I28" s="64">
        <v>0.000113</v>
      </c>
      <c r="J28" s="50" t="s">
        <v>102</v>
      </c>
      <c r="K28" s="64">
        <v>0.000358</v>
      </c>
      <c r="L28" s="50"/>
      <c r="M28" s="64"/>
      <c r="N28" s="50"/>
      <c r="O28" s="64"/>
      <c r="P28" s="50"/>
      <c r="Q28" s="64"/>
      <c r="R28" s="50"/>
      <c r="S28" s="64">
        <f t="shared" si="0"/>
        <v>0.00030466666666666663</v>
      </c>
    </row>
    <row r="29" spans="2:19" ht="12.75">
      <c r="B29" s="8" t="s">
        <v>83</v>
      </c>
      <c r="C29" s="8"/>
      <c r="D29" s="8" t="s">
        <v>53</v>
      </c>
      <c r="F29" s="50"/>
      <c r="G29" s="64">
        <v>0.00101</v>
      </c>
      <c r="H29" s="50"/>
      <c r="I29" s="64">
        <v>0.000348</v>
      </c>
      <c r="J29" s="50"/>
      <c r="K29" s="64">
        <v>0.000174</v>
      </c>
      <c r="L29" s="50"/>
      <c r="M29" s="64"/>
      <c r="N29" s="50"/>
      <c r="O29" s="64"/>
      <c r="P29" s="50"/>
      <c r="Q29" s="64"/>
      <c r="R29" s="50"/>
      <c r="S29" s="64">
        <f t="shared" si="0"/>
        <v>0.0005106666666666666</v>
      </c>
    </row>
    <row r="30" spans="2:19" ht="12.75">
      <c r="B30" s="8" t="s">
        <v>85</v>
      </c>
      <c r="C30" s="8"/>
      <c r="D30" s="8" t="s">
        <v>53</v>
      </c>
      <c r="F30" s="50"/>
      <c r="G30" s="64">
        <v>0.00331</v>
      </c>
      <c r="H30" s="50"/>
      <c r="I30" s="64">
        <v>0.0031</v>
      </c>
      <c r="J30" s="50"/>
      <c r="K30" s="64">
        <v>0.00147</v>
      </c>
      <c r="L30" s="50"/>
      <c r="M30" s="64"/>
      <c r="N30" s="50"/>
      <c r="O30" s="64"/>
      <c r="P30" s="50"/>
      <c r="Q30" s="64"/>
      <c r="R30" s="50"/>
      <c r="S30" s="64">
        <f t="shared" si="0"/>
        <v>0.0026266666666666665</v>
      </c>
    </row>
    <row r="31" spans="2:19" ht="12.75">
      <c r="B31" s="8" t="s">
        <v>107</v>
      </c>
      <c r="C31" s="8"/>
      <c r="D31" s="8" t="s">
        <v>53</v>
      </c>
      <c r="F31" s="50"/>
      <c r="G31" s="64">
        <v>0.000481</v>
      </c>
      <c r="H31" s="50"/>
      <c r="I31" s="64">
        <v>0.000197</v>
      </c>
      <c r="J31" s="50"/>
      <c r="K31" s="64">
        <v>0.000101</v>
      </c>
      <c r="L31" s="50"/>
      <c r="M31" s="64"/>
      <c r="N31" s="50"/>
      <c r="O31" s="64"/>
      <c r="P31" s="50"/>
      <c r="Q31" s="64"/>
      <c r="R31" s="50"/>
      <c r="S31" s="64">
        <f t="shared" si="0"/>
        <v>0.00025966666666666667</v>
      </c>
    </row>
    <row r="32" spans="2:19" ht="12.75">
      <c r="B32" s="8"/>
      <c r="C32" s="8"/>
      <c r="G32" s="62"/>
      <c r="H32" s="114"/>
      <c r="I32" s="62"/>
      <c r="J32" s="114"/>
      <c r="K32" s="62"/>
      <c r="L32" s="114"/>
      <c r="M32" s="62"/>
      <c r="N32" s="114"/>
      <c r="O32" s="62"/>
      <c r="P32" s="114"/>
      <c r="Q32" s="62"/>
      <c r="S32" s="23"/>
    </row>
    <row r="33" spans="2:19" ht="12.75">
      <c r="B33" s="8" t="s">
        <v>89</v>
      </c>
      <c r="C33" s="8" t="s">
        <v>143</v>
      </c>
      <c r="D33" s="8" t="s">
        <v>421</v>
      </c>
      <c r="F33" s="50"/>
      <c r="G33"/>
      <c r="H33" s="50"/>
      <c r="I33"/>
      <c r="J33" s="50"/>
      <c r="K33"/>
      <c r="L33" s="50"/>
      <c r="M33"/>
      <c r="N33" s="50"/>
      <c r="O33"/>
      <c r="P33" s="50"/>
      <c r="Q33"/>
      <c r="R33" s="50"/>
      <c r="S33"/>
    </row>
    <row r="34" spans="2:19" ht="12.75">
      <c r="B34" s="8" t="s">
        <v>82</v>
      </c>
      <c r="C34" s="8"/>
      <c r="D34" s="8" t="s">
        <v>17</v>
      </c>
      <c r="F34" s="50"/>
      <c r="G34">
        <v>53618</v>
      </c>
      <c r="H34" s="50"/>
      <c r="I34">
        <v>51746</v>
      </c>
      <c r="J34" s="50"/>
      <c r="K34">
        <v>50534</v>
      </c>
      <c r="L34" s="50"/>
      <c r="M34">
        <v>52469</v>
      </c>
      <c r="N34" s="50"/>
      <c r="O34">
        <v>51695</v>
      </c>
      <c r="P34" s="50"/>
      <c r="Q34">
        <v>51837</v>
      </c>
      <c r="R34" s="50"/>
      <c r="S34" s="63">
        <f>AVERAGE(G34,I34,K34,M34,O34,Q34)</f>
        <v>51983.166666666664</v>
      </c>
    </row>
    <row r="35" spans="2:19" ht="12.75">
      <c r="B35" s="8" t="s">
        <v>87</v>
      </c>
      <c r="C35" s="8"/>
      <c r="D35" s="8" t="s">
        <v>18</v>
      </c>
      <c r="F35" s="50"/>
      <c r="G35" s="71">
        <v>14.08</v>
      </c>
      <c r="H35" s="115"/>
      <c r="I35" s="71">
        <v>14.58</v>
      </c>
      <c r="J35" s="115"/>
      <c r="K35" s="71">
        <v>14.46</v>
      </c>
      <c r="L35" s="115"/>
      <c r="M35" s="71">
        <v>13.88</v>
      </c>
      <c r="N35" s="115"/>
      <c r="O35" s="71">
        <v>13.55</v>
      </c>
      <c r="P35" s="115"/>
      <c r="Q35" s="71">
        <v>13.6</v>
      </c>
      <c r="R35" s="115"/>
      <c r="S35" s="60">
        <f>AVERAGE(G35,I35,K35,M35,O35,Q35)</f>
        <v>14.025</v>
      </c>
    </row>
    <row r="36" spans="2:19" ht="12.75">
      <c r="B36" s="8" t="s">
        <v>88</v>
      </c>
      <c r="C36" s="8"/>
      <c r="D36" s="8" t="s">
        <v>18</v>
      </c>
      <c r="F36" s="50"/>
      <c r="G36">
        <v>26.7</v>
      </c>
      <c r="H36" s="50"/>
      <c r="I36">
        <v>26.3</v>
      </c>
      <c r="J36" s="50"/>
      <c r="K36">
        <v>25</v>
      </c>
      <c r="L36" s="50"/>
      <c r="M36">
        <v>27.7</v>
      </c>
      <c r="N36" s="50"/>
      <c r="O36">
        <v>27.9</v>
      </c>
      <c r="P36" s="50"/>
      <c r="Q36">
        <v>27.9</v>
      </c>
      <c r="R36" s="50"/>
      <c r="S36" s="60">
        <f>AVERAGE(G36,I36,K36,M36,O36,Q36)</f>
        <v>26.916666666666668</v>
      </c>
    </row>
    <row r="37" spans="2:19" ht="12.75">
      <c r="B37" s="8" t="s">
        <v>81</v>
      </c>
      <c r="C37" s="8"/>
      <c r="D37" s="8" t="s">
        <v>19</v>
      </c>
      <c r="F37" s="50"/>
      <c r="G37">
        <v>200</v>
      </c>
      <c r="H37" s="50"/>
      <c r="I37">
        <v>201</v>
      </c>
      <c r="J37" s="50"/>
      <c r="K37">
        <v>202</v>
      </c>
      <c r="L37" s="50"/>
      <c r="M37">
        <v>201</v>
      </c>
      <c r="N37" s="50"/>
      <c r="O37">
        <v>201</v>
      </c>
      <c r="P37" s="50"/>
      <c r="Q37">
        <v>201</v>
      </c>
      <c r="R37" s="50"/>
      <c r="S37" s="5">
        <f>AVERAGE(G37,I37,K37,M37,O37,Q37)</f>
        <v>201</v>
      </c>
    </row>
    <row r="38" spans="6:18" ht="12.75">
      <c r="F38" s="50"/>
      <c r="H38" s="50"/>
      <c r="J38" s="50"/>
      <c r="L38" s="50"/>
      <c r="N38" s="50"/>
      <c r="P38" s="50"/>
      <c r="R38" s="50"/>
    </row>
    <row r="39" spans="2:19" ht="12.75">
      <c r="B39" s="8" t="s">
        <v>89</v>
      </c>
      <c r="C39" s="8" t="s">
        <v>198</v>
      </c>
      <c r="D39" s="8" t="s">
        <v>422</v>
      </c>
      <c r="F39" s="50"/>
      <c r="G39"/>
      <c r="H39" s="50"/>
      <c r="I39"/>
      <c r="J39" s="50"/>
      <c r="K39"/>
      <c r="L39" s="50"/>
      <c r="M39"/>
      <c r="N39" s="50"/>
      <c r="O39"/>
      <c r="P39" s="50"/>
      <c r="Q39"/>
      <c r="R39" s="50"/>
      <c r="S39"/>
    </row>
    <row r="40" spans="2:19" ht="12.75">
      <c r="B40" s="8" t="s">
        <v>82</v>
      </c>
      <c r="C40" s="8"/>
      <c r="D40" s="8" t="s">
        <v>17</v>
      </c>
      <c r="F40" s="50"/>
      <c r="G40">
        <v>51258</v>
      </c>
      <c r="H40" s="50"/>
      <c r="I40">
        <v>51064</v>
      </c>
      <c r="J40" s="50"/>
      <c r="K40">
        <v>50355</v>
      </c>
      <c r="L40" s="50"/>
      <c r="M40"/>
      <c r="N40" s="50"/>
      <c r="O40"/>
      <c r="P40" s="50"/>
      <c r="Q40"/>
      <c r="R40" s="50"/>
      <c r="S40" s="63">
        <f>AVERAGE(K40,I40,G40)</f>
        <v>50892.333333333336</v>
      </c>
    </row>
    <row r="41" spans="2:19" ht="12.75">
      <c r="B41" s="8" t="s">
        <v>87</v>
      </c>
      <c r="C41" s="8"/>
      <c r="D41" s="8" t="s">
        <v>18</v>
      </c>
      <c r="F41" s="50"/>
      <c r="G41" s="5">
        <v>14.58</v>
      </c>
      <c r="H41" s="116"/>
      <c r="I41" s="5">
        <v>13.77</v>
      </c>
      <c r="J41" s="116"/>
      <c r="K41" s="5">
        <v>13.63</v>
      </c>
      <c r="L41" s="116"/>
      <c r="M41" s="5"/>
      <c r="N41" s="116"/>
      <c r="O41" s="5"/>
      <c r="P41" s="116"/>
      <c r="Q41" s="5"/>
      <c r="R41" s="116"/>
      <c r="S41" s="5">
        <f>AVERAGE(K41,I41,G41)</f>
        <v>13.993333333333332</v>
      </c>
    </row>
    <row r="42" spans="2:19" ht="12.75">
      <c r="B42" s="8" t="s">
        <v>88</v>
      </c>
      <c r="C42" s="8"/>
      <c r="D42" s="8" t="s">
        <v>18</v>
      </c>
      <c r="F42" s="50"/>
      <c r="G42">
        <v>26.6</v>
      </c>
      <c r="H42" s="50"/>
      <c r="I42">
        <v>28</v>
      </c>
      <c r="J42" s="50"/>
      <c r="K42">
        <v>28.5</v>
      </c>
      <c r="L42" s="50"/>
      <c r="M42"/>
      <c r="N42" s="50"/>
      <c r="O42"/>
      <c r="P42" s="50"/>
      <c r="Q42"/>
      <c r="R42" s="50"/>
      <c r="S42" s="5">
        <f>AVERAGE(K42,I42,G42)</f>
        <v>27.7</v>
      </c>
    </row>
    <row r="43" spans="2:19" ht="12.75">
      <c r="B43" s="8" t="s">
        <v>81</v>
      </c>
      <c r="C43" s="8"/>
      <c r="D43" s="8" t="s">
        <v>19</v>
      </c>
      <c r="F43" s="50"/>
      <c r="G43" s="63">
        <v>200</v>
      </c>
      <c r="H43" s="117"/>
      <c r="I43" s="63">
        <v>200</v>
      </c>
      <c r="J43" s="117"/>
      <c r="K43" s="63">
        <v>201</v>
      </c>
      <c r="L43" s="117"/>
      <c r="M43" s="63"/>
      <c r="N43" s="117"/>
      <c r="O43" s="63"/>
      <c r="P43" s="117"/>
      <c r="Q43" s="63"/>
      <c r="R43" s="117"/>
      <c r="S43" s="63">
        <f>AVERAGE(K43,I43,G43)</f>
        <v>200.33333333333334</v>
      </c>
    </row>
    <row r="44" spans="2:19" ht="12.75">
      <c r="B44" s="8"/>
      <c r="C44" s="8"/>
      <c r="F44" s="50"/>
      <c r="G44"/>
      <c r="H44" s="50"/>
      <c r="I44"/>
      <c r="J44" s="50"/>
      <c r="K44"/>
      <c r="L44" s="50"/>
      <c r="M44"/>
      <c r="N44" s="50"/>
      <c r="O44"/>
      <c r="P44" s="50"/>
      <c r="Q44"/>
      <c r="R44" s="50"/>
      <c r="S44" s="5"/>
    </row>
    <row r="45" spans="2:19" ht="12.75">
      <c r="B45" s="8" t="s">
        <v>89</v>
      </c>
      <c r="C45" s="8" t="s">
        <v>72</v>
      </c>
      <c r="D45" s="8" t="s">
        <v>423</v>
      </c>
      <c r="F45" s="50"/>
      <c r="G45"/>
      <c r="H45" s="50"/>
      <c r="I45"/>
      <c r="J45" s="50"/>
      <c r="K45"/>
      <c r="L45" s="50"/>
      <c r="M45"/>
      <c r="N45" s="50"/>
      <c r="O45"/>
      <c r="P45" s="50"/>
      <c r="Q45"/>
      <c r="R45" s="50"/>
      <c r="S45"/>
    </row>
    <row r="46" spans="2:19" ht="12.75">
      <c r="B46" s="8" t="s">
        <v>82</v>
      </c>
      <c r="C46" s="8"/>
      <c r="D46" s="8" t="s">
        <v>17</v>
      </c>
      <c r="F46" s="50"/>
      <c r="G46">
        <v>51321</v>
      </c>
      <c r="H46" s="50"/>
      <c r="I46">
        <v>51435</v>
      </c>
      <c r="J46" s="50"/>
      <c r="K46">
        <v>51935</v>
      </c>
      <c r="L46" s="50"/>
      <c r="M46">
        <v>50577</v>
      </c>
      <c r="N46" s="50"/>
      <c r="O46">
        <v>49786</v>
      </c>
      <c r="P46" s="50"/>
      <c r="Q46"/>
      <c r="R46" s="50"/>
      <c r="S46" s="63">
        <f>AVERAGE(G46,I46,K46,M46,O46)</f>
        <v>51010.8</v>
      </c>
    </row>
    <row r="47" spans="2:19" ht="12.75">
      <c r="B47" s="8" t="s">
        <v>87</v>
      </c>
      <c r="C47" s="8"/>
      <c r="D47" s="8" t="s">
        <v>18</v>
      </c>
      <c r="F47" s="50"/>
      <c r="G47" s="60">
        <v>14.31</v>
      </c>
      <c r="H47" s="112"/>
      <c r="I47" s="60">
        <v>13.78</v>
      </c>
      <c r="J47" s="112"/>
      <c r="K47" s="60">
        <v>13.55</v>
      </c>
      <c r="L47" s="112"/>
      <c r="M47" s="60">
        <v>13.7</v>
      </c>
      <c r="N47" s="112"/>
      <c r="O47" s="60">
        <v>13.3</v>
      </c>
      <c r="P47" s="112"/>
      <c r="Q47" s="60"/>
      <c r="R47" s="112"/>
      <c r="S47" s="60">
        <f>AVERAGE(G47,I47,K47,M47,O47)</f>
        <v>13.728</v>
      </c>
    </row>
    <row r="48" spans="2:19" ht="12.75">
      <c r="B48" s="8" t="s">
        <v>88</v>
      </c>
      <c r="C48" s="8"/>
      <c r="D48" s="8" t="s">
        <v>18</v>
      </c>
      <c r="F48" s="50"/>
      <c r="G48" s="71">
        <v>25.6</v>
      </c>
      <c r="H48" s="115"/>
      <c r="I48" s="71">
        <v>27.3</v>
      </c>
      <c r="J48" s="115"/>
      <c r="K48" s="71">
        <v>27.7</v>
      </c>
      <c r="L48" s="115"/>
      <c r="M48" s="71">
        <v>27.7</v>
      </c>
      <c r="N48" s="115"/>
      <c r="O48" s="71">
        <v>29.1</v>
      </c>
      <c r="P48" s="115"/>
      <c r="Q48" s="71"/>
      <c r="R48" s="115"/>
      <c r="S48" s="71">
        <f>AVERAGE(G48,I48,K48,M48,O48)</f>
        <v>27.48</v>
      </c>
    </row>
    <row r="49" spans="2:19" ht="12.75">
      <c r="B49" s="8" t="s">
        <v>81</v>
      </c>
      <c r="C49" s="8"/>
      <c r="D49" s="8" t="s">
        <v>19</v>
      </c>
      <c r="F49" s="50"/>
      <c r="G49"/>
      <c r="H49" s="50"/>
      <c r="I49"/>
      <c r="J49" s="50"/>
      <c r="K49"/>
      <c r="L49" s="50"/>
      <c r="M49"/>
      <c r="N49" s="50"/>
      <c r="O49"/>
      <c r="P49" s="50"/>
      <c r="Q49"/>
      <c r="R49" s="50"/>
      <c r="S49" s="5"/>
    </row>
    <row r="50" spans="2:19" ht="12.75">
      <c r="B50" s="8"/>
      <c r="C50" s="8"/>
      <c r="F50" s="50"/>
      <c r="G50"/>
      <c r="H50" s="50"/>
      <c r="I50"/>
      <c r="J50" s="50"/>
      <c r="K50"/>
      <c r="L50" s="50"/>
      <c r="M50"/>
      <c r="N50" s="50"/>
      <c r="O50"/>
      <c r="P50" s="50"/>
      <c r="Q50"/>
      <c r="R50" s="50"/>
      <c r="S50" s="5"/>
    </row>
    <row r="51" spans="2:19" ht="12.75">
      <c r="B51" s="8"/>
      <c r="C51" s="8"/>
      <c r="F51" s="50"/>
      <c r="G51" s="64"/>
      <c r="H51" s="50"/>
      <c r="I51" s="64"/>
      <c r="J51" s="50"/>
      <c r="K51" s="64"/>
      <c r="L51" s="50"/>
      <c r="M51" s="64"/>
      <c r="N51" s="50"/>
      <c r="O51" s="64"/>
      <c r="P51" s="50"/>
      <c r="Q51" s="64"/>
      <c r="R51" s="50"/>
      <c r="S51" s="64"/>
    </row>
    <row r="52" spans="2:19" ht="12.75">
      <c r="B52" s="8" t="s">
        <v>105</v>
      </c>
      <c r="C52" s="8" t="s">
        <v>422</v>
      </c>
      <c r="D52" s="8" t="s">
        <v>57</v>
      </c>
      <c r="E52" s="8" t="s">
        <v>15</v>
      </c>
      <c r="F52" s="50"/>
      <c r="G52" s="5">
        <f aca="true" t="shared" si="1" ref="G52:G58">G25*454000000/60/G$40/0.028317*(21-7)/(21-G$41)</f>
        <v>1.0720138721074175</v>
      </c>
      <c r="H52" s="116"/>
      <c r="I52" s="5">
        <f aca="true" t="shared" si="2" ref="I52:I58">I25*454000000/60/I$40/0.028317*(21-7)/(21-I$41)</f>
        <v>0.5714936018363943</v>
      </c>
      <c r="J52" s="116"/>
      <c r="K52" s="5">
        <f aca="true" t="shared" si="3" ref="K52:K58">K25*454000000/60/K$40/0.028317*(21-7)/(21-K$41)</f>
        <v>0.46268774289598946</v>
      </c>
      <c r="L52" s="116"/>
      <c r="M52" s="5"/>
      <c r="N52" s="116"/>
      <c r="O52" s="5"/>
      <c r="P52" s="116"/>
      <c r="Q52" s="5"/>
      <c r="R52" s="50"/>
      <c r="S52" s="5">
        <f aca="true" t="shared" si="4" ref="S52:S60">AVERAGE(G52,I52,K52)</f>
        <v>0.7020650722799338</v>
      </c>
    </row>
    <row r="53" spans="2:19" ht="12.75">
      <c r="B53" s="8" t="s">
        <v>84</v>
      </c>
      <c r="C53" s="8" t="s">
        <v>422</v>
      </c>
      <c r="D53" s="8" t="s">
        <v>57</v>
      </c>
      <c r="E53" s="8" t="s">
        <v>15</v>
      </c>
      <c r="F53" s="50" t="s">
        <v>102</v>
      </c>
      <c r="G53" s="5">
        <f t="shared" si="1"/>
        <v>0.10720138721074174</v>
      </c>
      <c r="H53" s="116" t="s">
        <v>102</v>
      </c>
      <c r="I53" s="5">
        <f t="shared" si="2"/>
        <v>0.09514760498659114</v>
      </c>
      <c r="J53" s="116" t="s">
        <v>102</v>
      </c>
      <c r="K53" s="5">
        <f t="shared" si="3"/>
        <v>0.09243674514937308</v>
      </c>
      <c r="L53" s="116"/>
      <c r="M53" s="5"/>
      <c r="N53" s="116"/>
      <c r="O53" s="5"/>
      <c r="P53" s="116"/>
      <c r="Q53" s="5"/>
      <c r="R53" s="50">
        <v>100</v>
      </c>
      <c r="S53" s="5">
        <f t="shared" si="4"/>
        <v>0.09826191244890199</v>
      </c>
    </row>
    <row r="54" spans="2:19" ht="12.75">
      <c r="B54" s="8" t="s">
        <v>106</v>
      </c>
      <c r="C54" s="8" t="s">
        <v>422</v>
      </c>
      <c r="D54" s="8" t="s">
        <v>57</v>
      </c>
      <c r="E54" s="8" t="s">
        <v>15</v>
      </c>
      <c r="F54" s="50"/>
      <c r="G54" s="5">
        <f t="shared" si="1"/>
        <v>0.953785406890905</v>
      </c>
      <c r="H54" s="116"/>
      <c r="I54" s="5">
        <f t="shared" si="2"/>
        <v>1.2767410253791782</v>
      </c>
      <c r="J54" s="116"/>
      <c r="K54" s="5">
        <f t="shared" si="3"/>
        <v>0.6663106711421548</v>
      </c>
      <c r="L54" s="116"/>
      <c r="M54" s="5"/>
      <c r="N54" s="116"/>
      <c r="O54" s="5"/>
      <c r="P54" s="116"/>
      <c r="Q54" s="5"/>
      <c r="R54" s="50"/>
      <c r="S54" s="5">
        <f t="shared" si="4"/>
        <v>0.9656123678040793</v>
      </c>
    </row>
    <row r="55" spans="2:19" ht="12.75">
      <c r="B55" s="8" t="s">
        <v>145</v>
      </c>
      <c r="C55" s="8" t="s">
        <v>422</v>
      </c>
      <c r="D55" s="8" t="s">
        <v>57</v>
      </c>
      <c r="E55" s="8" t="s">
        <v>15</v>
      </c>
      <c r="F55" s="50" t="s">
        <v>102</v>
      </c>
      <c r="G55" s="5">
        <f t="shared" si="1"/>
        <v>5.036077893357221</v>
      </c>
      <c r="H55" s="116"/>
      <c r="I55" s="5">
        <f t="shared" si="2"/>
        <v>1.1450137767289454</v>
      </c>
      <c r="J55" s="116" t="s">
        <v>102</v>
      </c>
      <c r="K55" s="5">
        <f t="shared" si="3"/>
        <v>3.6087627877290682</v>
      </c>
      <c r="L55" s="116"/>
      <c r="M55" s="5"/>
      <c r="N55" s="116"/>
      <c r="O55" s="5"/>
      <c r="P55" s="116"/>
      <c r="Q55" s="5"/>
      <c r="R55" s="50">
        <f>(G55+K55)/(S55*3)*100</f>
        <v>88.30407763810135</v>
      </c>
      <c r="S55" s="5">
        <f t="shared" si="4"/>
        <v>3.2632848192717447</v>
      </c>
    </row>
    <row r="56" spans="2:19" ht="12.75">
      <c r="B56" s="8" t="s">
        <v>83</v>
      </c>
      <c r="C56" s="8" t="s">
        <v>422</v>
      </c>
      <c r="D56" s="8" t="s">
        <v>57</v>
      </c>
      <c r="E56" s="8" t="s">
        <v>15</v>
      </c>
      <c r="F56" s="50"/>
      <c r="G56" s="5">
        <f t="shared" si="1"/>
        <v>11.481802871988247</v>
      </c>
      <c r="H56" s="116"/>
      <c r="I56" s="5">
        <f t="shared" si="2"/>
        <v>3.5262371177139213</v>
      </c>
      <c r="J56" s="116"/>
      <c r="K56" s="5">
        <f t="shared" si="3"/>
        <v>1.753979678952117</v>
      </c>
      <c r="L56" s="116"/>
      <c r="M56" s="5"/>
      <c r="N56" s="116"/>
      <c r="O56" s="5"/>
      <c r="P56" s="116"/>
      <c r="Q56" s="5"/>
      <c r="R56" s="50"/>
      <c r="S56" s="5">
        <f t="shared" si="4"/>
        <v>5.587339889551429</v>
      </c>
    </row>
    <row r="57" spans="2:19" ht="12.75">
      <c r="B57" s="8" t="s">
        <v>85</v>
      </c>
      <c r="C57" s="8" t="s">
        <v>422</v>
      </c>
      <c r="D57" s="8" t="s">
        <v>57</v>
      </c>
      <c r="E57" s="8" t="s">
        <v>15</v>
      </c>
      <c r="F57" s="50"/>
      <c r="G57" s="5">
        <f t="shared" si="1"/>
        <v>37.62848267948623</v>
      </c>
      <c r="H57" s="116"/>
      <c r="I57" s="5">
        <f t="shared" si="2"/>
        <v>31.4118823704401</v>
      </c>
      <c r="J57" s="116"/>
      <c r="K57" s="5">
        <f t="shared" si="3"/>
        <v>14.818104184250643</v>
      </c>
      <c r="L57" s="116"/>
      <c r="M57" s="5"/>
      <c r="N57" s="116"/>
      <c r="O57" s="5"/>
      <c r="P57" s="116"/>
      <c r="Q57" s="5"/>
      <c r="R57" s="50"/>
      <c r="S57" s="5">
        <f t="shared" si="4"/>
        <v>27.952823078058994</v>
      </c>
    </row>
    <row r="58" spans="2:19" ht="12.75">
      <c r="B58" s="8" t="s">
        <v>107</v>
      </c>
      <c r="C58" s="8" t="s">
        <v>422</v>
      </c>
      <c r="D58" s="8" t="s">
        <v>57</v>
      </c>
      <c r="E58" s="8" t="s">
        <v>15</v>
      </c>
      <c r="F58" s="50"/>
      <c r="G58" s="5">
        <f t="shared" si="1"/>
        <v>5.468066516263709</v>
      </c>
      <c r="H58" s="116"/>
      <c r="I58" s="5">
        <f t="shared" si="2"/>
        <v>1.9961744603150648</v>
      </c>
      <c r="J58" s="116"/>
      <c r="K58" s="5">
        <f t="shared" si="3"/>
        <v>1.0181146412308266</v>
      </c>
      <c r="L58" s="116"/>
      <c r="M58" s="5"/>
      <c r="N58" s="116"/>
      <c r="O58" s="5"/>
      <c r="P58" s="116"/>
      <c r="Q58" s="5"/>
      <c r="R58" s="50"/>
      <c r="S58" s="5">
        <f t="shared" si="4"/>
        <v>2.8274518726032003</v>
      </c>
    </row>
    <row r="59" spans="2:19" ht="12.75">
      <c r="B59" s="8" t="s">
        <v>58</v>
      </c>
      <c r="C59" s="8" t="s">
        <v>422</v>
      </c>
      <c r="D59" s="8" t="s">
        <v>57</v>
      </c>
      <c r="E59" s="8" t="s">
        <v>15</v>
      </c>
      <c r="F59" s="50"/>
      <c r="G59" s="5">
        <f>G56+G54</f>
        <v>12.435588278879152</v>
      </c>
      <c r="H59" s="116"/>
      <c r="I59" s="5">
        <f>I56+I54</f>
        <v>4.8029781430931</v>
      </c>
      <c r="J59" s="116"/>
      <c r="K59" s="5">
        <f>K56+K54</f>
        <v>2.420290350094272</v>
      </c>
      <c r="L59" s="116"/>
      <c r="M59" s="5"/>
      <c r="N59" s="116"/>
      <c r="O59" s="5"/>
      <c r="P59" s="116"/>
      <c r="Q59" s="5"/>
      <c r="R59" s="116"/>
      <c r="S59" s="5">
        <f t="shared" si="4"/>
        <v>6.552952257355508</v>
      </c>
    </row>
    <row r="60" spans="2:19" ht="12.75">
      <c r="B60" s="8" t="s">
        <v>59</v>
      </c>
      <c r="C60" s="8" t="s">
        <v>422</v>
      </c>
      <c r="D60" s="8" t="s">
        <v>57</v>
      </c>
      <c r="E60" s="8" t="s">
        <v>15</v>
      </c>
      <c r="F60" s="50">
        <f>(G53+G55)/G60*100</f>
        <v>82.75199824410586</v>
      </c>
      <c r="G60" s="5">
        <f>G52+G53+G55</f>
        <v>6.21529315267538</v>
      </c>
      <c r="H60" s="116">
        <f>I53/I60*100</f>
        <v>5.251971586777784</v>
      </c>
      <c r="I60" s="5">
        <f>I52+I53+I55</f>
        <v>1.8116549835519309</v>
      </c>
      <c r="J60" s="50">
        <f>(K53+K55)/K60*100</f>
        <v>88.88808192316073</v>
      </c>
      <c r="K60" s="5">
        <f>K52+K53+K55</f>
        <v>4.163887275774431</v>
      </c>
      <c r="L60" s="116"/>
      <c r="M60" s="5"/>
      <c r="N60" s="116"/>
      <c r="O60" s="5"/>
      <c r="P60" s="116"/>
      <c r="Q60" s="5"/>
      <c r="R60" s="116">
        <f>(F60*G60+H60*I60+J60*K60)/(3*S60)</f>
        <v>73.33071209895945</v>
      </c>
      <c r="S60" s="5">
        <f t="shared" si="4"/>
        <v>4.063611804000581</v>
      </c>
    </row>
    <row r="61" spans="2:9" ht="12.75">
      <c r="B61" s="12"/>
      <c r="C61" s="12"/>
      <c r="I61" s="17"/>
    </row>
    <row r="62" spans="2:17" ht="12.75">
      <c r="B62" s="12"/>
      <c r="C62" s="12"/>
      <c r="G62" s="19"/>
      <c r="I62" s="20"/>
      <c r="K62" s="19"/>
      <c r="M62" s="19"/>
      <c r="O62" s="19"/>
      <c r="Q62" s="19"/>
    </row>
    <row r="63" spans="1:19" ht="12.75">
      <c r="A63" s="17">
        <v>11</v>
      </c>
      <c r="B63" s="21" t="s">
        <v>174</v>
      </c>
      <c r="C63" s="21" t="s">
        <v>175</v>
      </c>
      <c r="G63" s="19" t="s">
        <v>316</v>
      </c>
      <c r="I63" s="20" t="s">
        <v>317</v>
      </c>
      <c r="K63" s="19" t="s">
        <v>318</v>
      </c>
      <c r="M63" s="19" t="s">
        <v>319</v>
      </c>
      <c r="O63" s="19" t="s">
        <v>320</v>
      </c>
      <c r="Q63" s="19" t="s">
        <v>321</v>
      </c>
      <c r="S63" s="17" t="s">
        <v>47</v>
      </c>
    </row>
    <row r="64" spans="2:18" ht="12.75">
      <c r="B64" s="8"/>
      <c r="C64" s="8"/>
      <c r="D64" s="12"/>
      <c r="E64" s="12"/>
      <c r="F64" s="45"/>
      <c r="G64" s="12"/>
      <c r="H64" s="45"/>
      <c r="I64" s="22"/>
      <c r="J64" s="45"/>
      <c r="K64" s="12"/>
      <c r="L64" s="45"/>
      <c r="M64" s="12"/>
      <c r="N64" s="45"/>
      <c r="O64" s="12"/>
      <c r="P64" s="45"/>
      <c r="Q64" s="12"/>
      <c r="R64" s="45"/>
    </row>
    <row r="65" spans="2:19" ht="12.75">
      <c r="B65" s="8" t="s">
        <v>108</v>
      </c>
      <c r="C65" s="8" t="s">
        <v>118</v>
      </c>
      <c r="D65" s="12" t="s">
        <v>16</v>
      </c>
      <c r="E65" s="12"/>
      <c r="F65" s="50"/>
      <c r="G65"/>
      <c r="H65" s="50"/>
      <c r="I65"/>
      <c r="J65" s="50"/>
      <c r="K65"/>
      <c r="L65" s="50"/>
      <c r="M65"/>
      <c r="N65" s="50"/>
      <c r="O65"/>
      <c r="P65" s="50"/>
      <c r="Q65"/>
      <c r="R65" s="50"/>
      <c r="S65" s="56"/>
    </row>
    <row r="66" spans="2:19" ht="12.75">
      <c r="B66" s="8" t="s">
        <v>110</v>
      </c>
      <c r="C66" s="8" t="s">
        <v>118</v>
      </c>
      <c r="D66" s="12" t="s">
        <v>16</v>
      </c>
      <c r="E66" s="12"/>
      <c r="F66" s="50"/>
      <c r="G66"/>
      <c r="H66" s="50"/>
      <c r="I66"/>
      <c r="J66" s="50"/>
      <c r="K66"/>
      <c r="L66" s="50"/>
      <c r="M66"/>
      <c r="N66" s="50"/>
      <c r="O66"/>
      <c r="P66" s="50"/>
      <c r="Q66"/>
      <c r="R66" s="50"/>
      <c r="S66" s="56"/>
    </row>
    <row r="67" spans="2:18" ht="12.75">
      <c r="B67" s="8"/>
      <c r="C67" s="8"/>
      <c r="D67" s="12"/>
      <c r="E67" s="12"/>
      <c r="F67" s="50"/>
      <c r="G67"/>
      <c r="H67" s="50"/>
      <c r="I67"/>
      <c r="J67" s="50"/>
      <c r="K67"/>
      <c r="L67" s="50"/>
      <c r="M67"/>
      <c r="N67" s="50"/>
      <c r="O67"/>
      <c r="P67" s="50"/>
      <c r="Q67"/>
      <c r="R67" s="50"/>
    </row>
    <row r="68" spans="2:19" ht="12.75">
      <c r="B68" s="8" t="s">
        <v>13</v>
      </c>
      <c r="C68" s="8" t="s">
        <v>421</v>
      </c>
      <c r="D68" s="8" t="s">
        <v>14</v>
      </c>
      <c r="E68" s="8" t="s">
        <v>15</v>
      </c>
      <c r="F68" s="50"/>
      <c r="G68" s="69">
        <v>0.0037</v>
      </c>
      <c r="H68" s="110"/>
      <c r="I68" s="69">
        <v>0.0023</v>
      </c>
      <c r="J68" s="110"/>
      <c r="K68" s="69">
        <v>0.0018</v>
      </c>
      <c r="L68" s="110"/>
      <c r="M68" s="69">
        <v>0.0025</v>
      </c>
      <c r="N68" s="110"/>
      <c r="O68" s="69">
        <v>0.0032</v>
      </c>
      <c r="P68" s="110"/>
      <c r="Q68" s="69"/>
      <c r="R68" s="110"/>
      <c r="S68" s="69">
        <f>AVERAGE(K68,I68,G68,M68,O68)</f>
        <v>0.0027</v>
      </c>
    </row>
    <row r="69" spans="2:19" ht="12.75">
      <c r="B69" s="8"/>
      <c r="C69" s="8"/>
      <c r="F69" s="50"/>
      <c r="G69"/>
      <c r="H69" s="50"/>
      <c r="I69"/>
      <c r="J69" s="50"/>
      <c r="K69"/>
      <c r="L69" s="50"/>
      <c r="M69"/>
      <c r="N69" s="50"/>
      <c r="O69"/>
      <c r="P69" s="50"/>
      <c r="Q69"/>
      <c r="R69" s="50"/>
      <c r="S69" s="54"/>
    </row>
    <row r="70" spans="2:19" ht="12.75">
      <c r="B70" s="8" t="s">
        <v>50</v>
      </c>
      <c r="C70" s="8"/>
      <c r="D70" s="8" t="s">
        <v>53</v>
      </c>
      <c r="F70" s="50" t="s">
        <v>102</v>
      </c>
      <c r="G70" s="54">
        <v>0.6278</v>
      </c>
      <c r="H70" s="111" t="s">
        <v>102</v>
      </c>
      <c r="I70" s="54">
        <v>0.6495</v>
      </c>
      <c r="J70" s="111" t="s">
        <v>102</v>
      </c>
      <c r="K70" s="54">
        <v>0.5965</v>
      </c>
      <c r="L70" s="111"/>
      <c r="M70" s="54"/>
      <c r="N70" s="111"/>
      <c r="O70" s="54"/>
      <c r="P70" s="111"/>
      <c r="Q70" s="54"/>
      <c r="R70" s="111"/>
      <c r="S70" s="54">
        <f>AVERAGE(K70,I70,G70)</f>
        <v>0.6246</v>
      </c>
    </row>
    <row r="71" spans="2:19" ht="12.75">
      <c r="B71" s="8" t="s">
        <v>51</v>
      </c>
      <c r="C71" s="8" t="s">
        <v>142</v>
      </c>
      <c r="D71" s="8" t="s">
        <v>53</v>
      </c>
      <c r="F71" s="50"/>
      <c r="G71" s="69"/>
      <c r="H71" s="110"/>
      <c r="I71" s="69"/>
      <c r="J71" s="110"/>
      <c r="K71" s="69"/>
      <c r="L71" s="110"/>
      <c r="M71" s="69"/>
      <c r="N71" s="110"/>
      <c r="O71" s="69"/>
      <c r="P71" s="110"/>
      <c r="Q71" s="69"/>
      <c r="R71" s="110"/>
      <c r="S71" s="69"/>
    </row>
    <row r="72" spans="2:19" ht="12.75">
      <c r="B72" s="8"/>
      <c r="C72" s="8"/>
      <c r="F72" s="50"/>
      <c r="G72"/>
      <c r="H72" s="50"/>
      <c r="I72"/>
      <c r="J72" s="50"/>
      <c r="K72"/>
      <c r="L72" s="50"/>
      <c r="M72"/>
      <c r="N72" s="50"/>
      <c r="O72"/>
      <c r="P72" s="50"/>
      <c r="Q72"/>
      <c r="R72" s="50"/>
      <c r="S72" s="54"/>
    </row>
    <row r="73" spans="2:19" ht="12.75">
      <c r="B73" s="8" t="s">
        <v>50</v>
      </c>
      <c r="C73" s="8" t="s">
        <v>422</v>
      </c>
      <c r="D73" s="8" t="s">
        <v>16</v>
      </c>
      <c r="E73" s="8" t="s">
        <v>15</v>
      </c>
      <c r="F73" s="50" t="s">
        <v>102</v>
      </c>
      <c r="G73" s="60">
        <f>G70/36.5*386.7/60/G$97*1000000*(21-7)/(21-G$98)</f>
        <v>4.294253229773964</v>
      </c>
      <c r="H73" s="112" t="s">
        <v>102</v>
      </c>
      <c r="I73" s="60">
        <f>I70/36.5*386.7/60/I$97*1000000*(21-7)/(21-I$98)</f>
        <v>4.550748365434869</v>
      </c>
      <c r="J73" s="112" t="s">
        <v>102</v>
      </c>
      <c r="K73" s="60">
        <f>K70/36.5*386.7/60/K$97*1000000*(21-7)/(21-K$98)</f>
        <v>4.299705860026812</v>
      </c>
      <c r="L73" s="112"/>
      <c r="M73" s="60"/>
      <c r="N73" s="112"/>
      <c r="O73" s="60"/>
      <c r="P73" s="112"/>
      <c r="Q73" s="60"/>
      <c r="R73" s="117">
        <v>100</v>
      </c>
      <c r="S73" s="60">
        <f>AVERAGE(K73,I73,G73,M73,O73)</f>
        <v>4.381569151745214</v>
      </c>
    </row>
    <row r="74" spans="2:19" ht="12.75">
      <c r="B74" s="8"/>
      <c r="C74" s="8"/>
      <c r="F74" s="50"/>
      <c r="G74" s="60"/>
      <c r="H74" s="112"/>
      <c r="I74" s="60"/>
      <c r="J74" s="112"/>
      <c r="K74" s="60"/>
      <c r="L74" s="112"/>
      <c r="M74" s="60"/>
      <c r="N74" s="112"/>
      <c r="O74" s="60"/>
      <c r="P74" s="112"/>
      <c r="Q74" s="60"/>
      <c r="R74" s="112"/>
      <c r="S74" s="60"/>
    </row>
    <row r="75" spans="2:19" ht="12.75">
      <c r="B75" s="8"/>
      <c r="C75" s="8"/>
      <c r="F75" s="50"/>
      <c r="G75" s="60"/>
      <c r="H75" s="112"/>
      <c r="I75" s="60"/>
      <c r="J75" s="112"/>
      <c r="K75" s="60"/>
      <c r="L75" s="112"/>
      <c r="M75" s="60"/>
      <c r="N75" s="112"/>
      <c r="O75" s="60"/>
      <c r="P75" s="112"/>
      <c r="Q75" s="60"/>
      <c r="R75" s="112"/>
      <c r="S75" s="60"/>
    </row>
    <row r="76" spans="2:19" ht="12.75">
      <c r="B76" s="8"/>
      <c r="C76" s="8"/>
      <c r="F76" s="50"/>
      <c r="G76"/>
      <c r="H76" s="50"/>
      <c r="I76"/>
      <c r="J76" s="50"/>
      <c r="K76"/>
      <c r="L76" s="50"/>
      <c r="M76"/>
      <c r="N76" s="50"/>
      <c r="O76"/>
      <c r="P76" s="50"/>
      <c r="Q76"/>
      <c r="R76" s="50"/>
      <c r="S76" s="5"/>
    </row>
    <row r="77" spans="2:19" ht="12.75">
      <c r="B77" s="8" t="s">
        <v>111</v>
      </c>
      <c r="C77" s="8" t="s">
        <v>176</v>
      </c>
      <c r="G77" s="23"/>
      <c r="I77" s="24"/>
      <c r="K77" s="23"/>
      <c r="M77" s="23"/>
      <c r="O77" s="23"/>
      <c r="Q77" s="23"/>
      <c r="S77" s="55"/>
    </row>
    <row r="78" spans="2:19" ht="12.75">
      <c r="B78" s="8" t="s">
        <v>112</v>
      </c>
      <c r="C78" s="8"/>
      <c r="D78" s="8" t="s">
        <v>53</v>
      </c>
      <c r="G78" s="70">
        <f>AVERAGE(930,972,987)</f>
        <v>963</v>
      </c>
      <c r="H78" s="113"/>
      <c r="I78" s="70">
        <f>AVERAGE(1043,1105,980)</f>
        <v>1042.6666666666667</v>
      </c>
      <c r="J78" s="113"/>
      <c r="K78" s="70">
        <f>AVERAGE(980,1041,1069)</f>
        <v>1030</v>
      </c>
      <c r="L78" s="113"/>
      <c r="M78" s="70"/>
      <c r="N78" s="113"/>
      <c r="O78" s="70"/>
      <c r="P78" s="113"/>
      <c r="Q78" s="70"/>
      <c r="S78" s="55">
        <f>AVERAGE(G78,I78,K78)</f>
        <v>1011.888888888889</v>
      </c>
    </row>
    <row r="79" spans="2:19" ht="12.75">
      <c r="B79" s="8" t="s">
        <v>113</v>
      </c>
      <c r="C79" s="8" t="s">
        <v>424</v>
      </c>
      <c r="D79" s="8" t="s">
        <v>53</v>
      </c>
      <c r="F79" s="19" t="s">
        <v>177</v>
      </c>
      <c r="G79" s="57">
        <f>AVERAGE(0.000231,0.000234,0.000234)</f>
        <v>0.000233</v>
      </c>
      <c r="H79" s="19" t="s">
        <v>177</v>
      </c>
      <c r="I79" s="57">
        <f>AVERAGE(0.000231,0.000232,0.000212)</f>
        <v>0.00022500000000000002</v>
      </c>
      <c r="J79" s="19" t="s">
        <v>177</v>
      </c>
      <c r="K79" s="57">
        <f>AVERAGE(0.000232,0.000234,0.000231)</f>
        <v>0.00023233333333333333</v>
      </c>
      <c r="M79" s="57"/>
      <c r="O79" s="57"/>
      <c r="Q79" s="57"/>
      <c r="S79" s="25">
        <f>AVERAGE(G79,I79,K79)</f>
        <v>0.00023011111111111114</v>
      </c>
    </row>
    <row r="80" spans="2:19" ht="12.75">
      <c r="B80" s="8" t="s">
        <v>52</v>
      </c>
      <c r="C80" s="8" t="s">
        <v>424</v>
      </c>
      <c r="D80" s="8" t="s">
        <v>18</v>
      </c>
      <c r="F80" s="19" t="s">
        <v>177</v>
      </c>
      <c r="G80" s="74">
        <f>(G78-G79)/G78*100</f>
        <v>99.99997580477674</v>
      </c>
      <c r="H80" s="114" t="s">
        <v>177</v>
      </c>
      <c r="I80" s="74">
        <f>(I78-I79)/I78*100</f>
        <v>99.99997842071612</v>
      </c>
      <c r="J80" s="114" t="s">
        <v>177</v>
      </c>
      <c r="K80" s="74">
        <f>(K78-K79)/K78*100</f>
        <v>99.9999774433657</v>
      </c>
      <c r="L80" s="114"/>
      <c r="M80" s="62"/>
      <c r="N80" s="114"/>
      <c r="O80" s="62"/>
      <c r="P80" s="114"/>
      <c r="Q80" s="62"/>
      <c r="S80" s="74">
        <f>(S78-S79)/S78*100</f>
        <v>99.99997725925112</v>
      </c>
    </row>
    <row r="81" spans="2:19" ht="12.75">
      <c r="B81" s="8"/>
      <c r="C81" s="8"/>
      <c r="F81" s="50"/>
      <c r="G81"/>
      <c r="H81" s="50"/>
      <c r="I81"/>
      <c r="J81" s="50"/>
      <c r="K81"/>
      <c r="L81" s="50"/>
      <c r="M81"/>
      <c r="N81" s="50"/>
      <c r="O81"/>
      <c r="P81" s="50"/>
      <c r="Q81"/>
      <c r="R81" s="50"/>
      <c r="S81" s="5"/>
    </row>
    <row r="82" spans="2:19" ht="12.75">
      <c r="B82" s="8" t="s">
        <v>105</v>
      </c>
      <c r="C82" s="8"/>
      <c r="D82" s="8" t="s">
        <v>53</v>
      </c>
      <c r="F82" s="50"/>
      <c r="G82" s="64">
        <v>7.08E-05</v>
      </c>
      <c r="H82" s="50"/>
      <c r="I82" s="64">
        <v>8.26E-05</v>
      </c>
      <c r="J82" s="50"/>
      <c r="K82" s="64">
        <v>0.00011</v>
      </c>
      <c r="L82" s="50"/>
      <c r="M82" s="64"/>
      <c r="N82" s="50"/>
      <c r="O82" s="64"/>
      <c r="P82" s="50"/>
      <c r="Q82" s="64"/>
      <c r="R82" s="50"/>
      <c r="S82" s="64">
        <f aca="true" t="shared" si="5" ref="S82:S88">AVERAGE(G82,I82,K82)</f>
        <v>8.78E-05</v>
      </c>
    </row>
    <row r="83" spans="2:19" ht="12.75">
      <c r="B83" s="8" t="s">
        <v>84</v>
      </c>
      <c r="C83" s="8"/>
      <c r="D83" s="8" t="s">
        <v>53</v>
      </c>
      <c r="F83" s="50" t="s">
        <v>102</v>
      </c>
      <c r="G83" s="64">
        <v>7.95E-06</v>
      </c>
      <c r="H83" s="50" t="s">
        <v>102</v>
      </c>
      <c r="I83" s="64">
        <v>7.51E-06</v>
      </c>
      <c r="J83" s="50" t="s">
        <v>102</v>
      </c>
      <c r="K83" s="64">
        <v>7.33E-06</v>
      </c>
      <c r="L83" s="50"/>
      <c r="M83" s="64"/>
      <c r="N83" s="50"/>
      <c r="O83" s="64"/>
      <c r="P83" s="50"/>
      <c r="Q83" s="64"/>
      <c r="R83" s="50"/>
      <c r="S83" s="64">
        <f t="shared" si="5"/>
        <v>7.596666666666667E-06</v>
      </c>
    </row>
    <row r="84" spans="2:19" ht="12.75">
      <c r="B84" s="8" t="s">
        <v>106</v>
      </c>
      <c r="C84" s="8"/>
      <c r="D84" s="8" t="s">
        <v>53</v>
      </c>
      <c r="F84" s="50"/>
      <c r="G84" s="64">
        <v>0.000167</v>
      </c>
      <c r="H84" s="50"/>
      <c r="I84" s="64">
        <v>0.0003</v>
      </c>
      <c r="J84" s="50"/>
      <c r="K84" s="64">
        <v>0.00055</v>
      </c>
      <c r="L84" s="50"/>
      <c r="M84" s="64"/>
      <c r="N84" s="50"/>
      <c r="O84" s="64"/>
      <c r="P84" s="50"/>
      <c r="Q84" s="64"/>
      <c r="R84" s="50"/>
      <c r="S84" s="64">
        <f t="shared" si="5"/>
        <v>0.00033900000000000005</v>
      </c>
    </row>
    <row r="85" spans="2:19" ht="12.75">
      <c r="B85" s="8" t="s">
        <v>145</v>
      </c>
      <c r="C85" s="8"/>
      <c r="D85" s="8" t="s">
        <v>53</v>
      </c>
      <c r="F85" s="50"/>
      <c r="G85" s="64">
        <v>0.000493</v>
      </c>
      <c r="H85" s="50"/>
      <c r="I85" s="64">
        <v>0.000571</v>
      </c>
      <c r="J85" s="50"/>
      <c r="K85" s="64">
        <v>0.000301</v>
      </c>
      <c r="L85" s="50"/>
      <c r="M85" s="64"/>
      <c r="N85" s="50"/>
      <c r="O85" s="64"/>
      <c r="P85" s="50"/>
      <c r="Q85" s="64"/>
      <c r="R85" s="50"/>
      <c r="S85" s="64">
        <f t="shared" si="5"/>
        <v>0.00045499999999999995</v>
      </c>
    </row>
    <row r="86" spans="2:19" ht="12.75">
      <c r="B86" s="8" t="s">
        <v>83</v>
      </c>
      <c r="C86" s="8"/>
      <c r="D86" s="8" t="s">
        <v>53</v>
      </c>
      <c r="F86" s="50"/>
      <c r="G86" s="64">
        <v>0.00137</v>
      </c>
      <c r="H86" s="50"/>
      <c r="I86" s="64">
        <v>0.00145</v>
      </c>
      <c r="J86" s="50"/>
      <c r="K86" s="64">
        <v>0.00141</v>
      </c>
      <c r="L86" s="50"/>
      <c r="M86" s="64"/>
      <c r="N86" s="50"/>
      <c r="O86" s="64"/>
      <c r="P86" s="50"/>
      <c r="Q86" s="64"/>
      <c r="R86" s="50"/>
      <c r="S86" s="64">
        <f t="shared" si="5"/>
        <v>0.0014099999999999998</v>
      </c>
    </row>
    <row r="87" spans="2:19" ht="12.75">
      <c r="B87" s="8" t="s">
        <v>85</v>
      </c>
      <c r="C87" s="8"/>
      <c r="D87" s="8" t="s">
        <v>53</v>
      </c>
      <c r="F87" s="50"/>
      <c r="G87" s="64">
        <v>0.0182</v>
      </c>
      <c r="H87" s="50"/>
      <c r="I87" s="64">
        <v>0.00564</v>
      </c>
      <c r="J87" s="50"/>
      <c r="K87" s="64">
        <v>0.006</v>
      </c>
      <c r="L87" s="50"/>
      <c r="M87" s="64"/>
      <c r="N87" s="50"/>
      <c r="O87" s="64"/>
      <c r="P87" s="50"/>
      <c r="Q87" s="64"/>
      <c r="R87" s="50"/>
      <c r="S87" s="64">
        <f t="shared" si="5"/>
        <v>0.009946666666666666</v>
      </c>
    </row>
    <row r="88" spans="2:19" ht="12.75">
      <c r="B88" s="8" t="s">
        <v>107</v>
      </c>
      <c r="C88" s="8"/>
      <c r="D88" s="8" t="s">
        <v>53</v>
      </c>
      <c r="F88" s="50"/>
      <c r="G88" s="64">
        <v>0.00031</v>
      </c>
      <c r="H88" s="50"/>
      <c r="I88" s="64">
        <v>0.000443</v>
      </c>
      <c r="J88" s="50"/>
      <c r="K88" s="64">
        <v>0.000117</v>
      </c>
      <c r="L88" s="50"/>
      <c r="M88" s="64"/>
      <c r="N88" s="50"/>
      <c r="O88" s="64"/>
      <c r="P88" s="50"/>
      <c r="Q88" s="64"/>
      <c r="R88" s="50"/>
      <c r="S88" s="64">
        <f t="shared" si="5"/>
        <v>0.00029</v>
      </c>
    </row>
    <row r="89" spans="2:19" ht="12.75">
      <c r="B89" s="8"/>
      <c r="C89" s="8"/>
      <c r="G89" s="62"/>
      <c r="H89" s="114"/>
      <c r="I89" s="62"/>
      <c r="J89" s="114"/>
      <c r="K89" s="62"/>
      <c r="L89" s="114"/>
      <c r="M89" s="62"/>
      <c r="N89" s="114"/>
      <c r="O89" s="62"/>
      <c r="P89" s="114"/>
      <c r="Q89" s="62"/>
      <c r="S89" s="23"/>
    </row>
    <row r="90" spans="2:19" ht="12.75">
      <c r="B90" s="8" t="s">
        <v>89</v>
      </c>
      <c r="C90" s="8" t="s">
        <v>13</v>
      </c>
      <c r="D90" s="8" t="s">
        <v>421</v>
      </c>
      <c r="F90" s="50"/>
      <c r="G90"/>
      <c r="H90" s="50"/>
      <c r="I90"/>
      <c r="J90" s="50"/>
      <c r="K90"/>
      <c r="L90" s="50"/>
      <c r="M90"/>
      <c r="N90" s="50"/>
      <c r="O90"/>
      <c r="P90" s="50"/>
      <c r="Q90"/>
      <c r="R90" s="50"/>
      <c r="S90"/>
    </row>
    <row r="91" spans="2:19" ht="12.75">
      <c r="B91" s="8" t="s">
        <v>82</v>
      </c>
      <c r="C91" s="8"/>
      <c r="D91" s="8" t="s">
        <v>17</v>
      </c>
      <c r="F91" s="50"/>
      <c r="G91">
        <v>51629</v>
      </c>
      <c r="H91" s="50"/>
      <c r="I91">
        <v>50403</v>
      </c>
      <c r="J91" s="50"/>
      <c r="K91">
        <v>51962</v>
      </c>
      <c r="L91" s="50"/>
      <c r="M91">
        <v>52565</v>
      </c>
      <c r="N91" s="50"/>
      <c r="O91">
        <v>50531</v>
      </c>
      <c r="P91" s="50"/>
      <c r="Q91"/>
      <c r="R91" s="50"/>
      <c r="S91" s="63">
        <f>AVERAGE(G91,I91,K91,M91,O91,Q91)</f>
        <v>51418</v>
      </c>
    </row>
    <row r="92" spans="2:19" ht="12.75">
      <c r="B92" s="8" t="s">
        <v>87</v>
      </c>
      <c r="C92" s="8"/>
      <c r="D92" s="8" t="s">
        <v>18</v>
      </c>
      <c r="F92" s="50"/>
      <c r="G92" s="71">
        <v>14</v>
      </c>
      <c r="H92" s="115"/>
      <c r="I92" s="71">
        <v>14</v>
      </c>
      <c r="J92" s="115"/>
      <c r="K92" s="71">
        <v>14.4</v>
      </c>
      <c r="L92" s="115"/>
      <c r="M92" s="71">
        <v>14.4</v>
      </c>
      <c r="N92" s="115"/>
      <c r="O92" s="71">
        <v>14.1</v>
      </c>
      <c r="P92" s="115"/>
      <c r="Q92" s="71"/>
      <c r="R92" s="115"/>
      <c r="S92" s="60">
        <f>AVERAGE(G92,I92,K92,M92,O92,Q92)</f>
        <v>14.179999999999998</v>
      </c>
    </row>
    <row r="93" spans="2:19" ht="12.75">
      <c r="B93" s="8" t="s">
        <v>88</v>
      </c>
      <c r="C93" s="8"/>
      <c r="D93" s="8" t="s">
        <v>18</v>
      </c>
      <c r="F93" s="50"/>
      <c r="G93">
        <v>25.2</v>
      </c>
      <c r="H93" s="50"/>
      <c r="I93">
        <v>25.3</v>
      </c>
      <c r="J93" s="50"/>
      <c r="K93">
        <v>26</v>
      </c>
      <c r="L93" s="50"/>
      <c r="M93">
        <v>27.1</v>
      </c>
      <c r="N93" s="50"/>
      <c r="O93">
        <v>27</v>
      </c>
      <c r="P93" s="50"/>
      <c r="Q93"/>
      <c r="R93" s="50"/>
      <c r="S93" s="60">
        <f>AVERAGE(G93,I93,K93,M93,O93,Q93)</f>
        <v>26.119999999999997</v>
      </c>
    </row>
    <row r="94" spans="2:19" ht="12.75">
      <c r="B94" s="8" t="s">
        <v>81</v>
      </c>
      <c r="C94" s="8"/>
      <c r="D94" s="8" t="s">
        <v>19</v>
      </c>
      <c r="F94" s="50"/>
      <c r="G94">
        <v>198</v>
      </c>
      <c r="H94" s="50"/>
      <c r="I94">
        <v>198</v>
      </c>
      <c r="J94" s="50"/>
      <c r="K94">
        <v>197</v>
      </c>
      <c r="L94" s="50"/>
      <c r="M94">
        <v>196</v>
      </c>
      <c r="N94" s="50"/>
      <c r="O94">
        <v>196</v>
      </c>
      <c r="P94" s="50"/>
      <c r="Q94"/>
      <c r="R94" s="50"/>
      <c r="S94" s="5">
        <f>AVERAGE(G94,I94,K94,M94,O94,Q94)</f>
        <v>197</v>
      </c>
    </row>
    <row r="95" spans="2:19" ht="12.75">
      <c r="B95" s="8"/>
      <c r="C95" s="8"/>
      <c r="F95" s="50"/>
      <c r="G95"/>
      <c r="H95" s="50"/>
      <c r="I95"/>
      <c r="J95" s="50"/>
      <c r="K95"/>
      <c r="L95" s="50"/>
      <c r="M95"/>
      <c r="N95" s="50"/>
      <c r="O95"/>
      <c r="P95" s="50"/>
      <c r="Q95"/>
      <c r="R95" s="50"/>
      <c r="S95"/>
    </row>
    <row r="96" spans="2:19" ht="12.75">
      <c r="B96" s="8" t="s">
        <v>89</v>
      </c>
      <c r="C96" s="8" t="s">
        <v>50</v>
      </c>
      <c r="D96" s="8" t="s">
        <v>422</v>
      </c>
      <c r="F96" s="50"/>
      <c r="G96"/>
      <c r="H96" s="50"/>
      <c r="I96"/>
      <c r="J96" s="50"/>
      <c r="K96"/>
      <c r="L96" s="50"/>
      <c r="M96"/>
      <c r="N96" s="50"/>
      <c r="O96"/>
      <c r="P96" s="50"/>
      <c r="Q96"/>
      <c r="R96" s="50"/>
      <c r="S96"/>
    </row>
    <row r="97" spans="2:19" ht="12.75">
      <c r="B97" s="8" t="s">
        <v>82</v>
      </c>
      <c r="C97" s="8"/>
      <c r="D97" s="8" t="s">
        <v>17</v>
      </c>
      <c r="F97" s="50"/>
      <c r="G97">
        <v>51629</v>
      </c>
      <c r="H97" s="50"/>
      <c r="I97">
        <v>50403</v>
      </c>
      <c r="J97" s="50"/>
      <c r="K97">
        <v>51962</v>
      </c>
      <c r="L97" s="50"/>
      <c r="M97"/>
      <c r="N97" s="50"/>
      <c r="O97"/>
      <c r="P97" s="50"/>
      <c r="Q97"/>
      <c r="R97" s="50"/>
      <c r="S97" s="63">
        <f>AVERAGE(G97,I97,K97,M97,O97,Q97)</f>
        <v>51331.333333333336</v>
      </c>
    </row>
    <row r="98" spans="2:19" ht="12.75">
      <c r="B98" s="8" t="s">
        <v>87</v>
      </c>
      <c r="C98" s="8"/>
      <c r="D98" s="8" t="s">
        <v>18</v>
      </c>
      <c r="F98" s="50"/>
      <c r="G98" s="71">
        <v>14</v>
      </c>
      <c r="H98" s="115"/>
      <c r="I98" s="71">
        <v>14</v>
      </c>
      <c r="J98" s="115"/>
      <c r="K98" s="71">
        <v>14.4</v>
      </c>
      <c r="L98" s="115"/>
      <c r="M98" s="71"/>
      <c r="N98" s="115"/>
      <c r="O98" s="71"/>
      <c r="P98" s="115"/>
      <c r="Q98" s="71"/>
      <c r="R98" s="115"/>
      <c r="S98" s="60">
        <f>AVERAGE(G98,I98,K98,M98,O98,Q98)</f>
        <v>14.133333333333333</v>
      </c>
    </row>
    <row r="99" spans="2:19" ht="12.75">
      <c r="B99" s="8" t="s">
        <v>88</v>
      </c>
      <c r="C99" s="8"/>
      <c r="D99" s="8" t="s">
        <v>18</v>
      </c>
      <c r="F99" s="50"/>
      <c r="G99">
        <v>25.2</v>
      </c>
      <c r="H99" s="50"/>
      <c r="I99">
        <v>25.3</v>
      </c>
      <c r="J99" s="50"/>
      <c r="K99">
        <v>26</v>
      </c>
      <c r="L99" s="50"/>
      <c r="M99"/>
      <c r="N99" s="50"/>
      <c r="O99"/>
      <c r="P99" s="50"/>
      <c r="Q99"/>
      <c r="R99" s="50"/>
      <c r="S99" s="60">
        <f>AVERAGE(G99,I99,K99,M99,O99,Q99)</f>
        <v>25.5</v>
      </c>
    </row>
    <row r="100" spans="2:19" ht="12.75">
      <c r="B100" s="8" t="s">
        <v>81</v>
      </c>
      <c r="C100" s="8"/>
      <c r="D100" s="8" t="s">
        <v>19</v>
      </c>
      <c r="F100" s="50"/>
      <c r="G100">
        <v>198</v>
      </c>
      <c r="H100" s="50"/>
      <c r="I100">
        <v>198</v>
      </c>
      <c r="J100" s="50"/>
      <c r="K100">
        <v>197</v>
      </c>
      <c r="L100" s="50"/>
      <c r="M100"/>
      <c r="N100" s="50"/>
      <c r="O100"/>
      <c r="P100" s="50"/>
      <c r="Q100"/>
      <c r="R100" s="50"/>
      <c r="S100" s="5">
        <f>AVERAGE(G100,I100,K100,M100,O100,Q100)</f>
        <v>197.66666666666666</v>
      </c>
    </row>
    <row r="101" spans="6:18" ht="12.75">
      <c r="F101" s="50"/>
      <c r="H101" s="50"/>
      <c r="J101" s="50"/>
      <c r="L101" s="50"/>
      <c r="N101" s="50"/>
      <c r="P101" s="50"/>
      <c r="R101" s="50"/>
    </row>
    <row r="102" spans="2:19" ht="12.75">
      <c r="B102" s="8" t="s">
        <v>89</v>
      </c>
      <c r="C102" s="8" t="s">
        <v>198</v>
      </c>
      <c r="D102" s="8" t="s">
        <v>423</v>
      </c>
      <c r="F102" s="50"/>
      <c r="G102"/>
      <c r="H102" s="50"/>
      <c r="I102"/>
      <c r="J102" s="50"/>
      <c r="K102"/>
      <c r="L102" s="50"/>
      <c r="M102"/>
      <c r="N102" s="50"/>
      <c r="O102"/>
      <c r="P102" s="50"/>
      <c r="Q102"/>
      <c r="R102" s="50"/>
      <c r="S102"/>
    </row>
    <row r="103" spans="2:19" ht="12.75">
      <c r="B103" s="8" t="s">
        <v>82</v>
      </c>
      <c r="C103" s="8"/>
      <c r="D103" s="8" t="s">
        <v>17</v>
      </c>
      <c r="F103" s="50"/>
      <c r="G103">
        <v>49341</v>
      </c>
      <c r="H103" s="50"/>
      <c r="I103">
        <v>50181</v>
      </c>
      <c r="J103" s="50"/>
      <c r="K103">
        <v>50380</v>
      </c>
      <c r="L103" s="50"/>
      <c r="M103"/>
      <c r="N103" s="50"/>
      <c r="O103"/>
      <c r="P103" s="50"/>
      <c r="Q103"/>
      <c r="R103" s="50"/>
      <c r="S103" s="63">
        <f>AVERAGE(K103,I103,G103)</f>
        <v>49967.333333333336</v>
      </c>
    </row>
    <row r="104" spans="2:19" ht="12.75">
      <c r="B104" s="8" t="s">
        <v>87</v>
      </c>
      <c r="C104" s="8"/>
      <c r="D104" s="8" t="s">
        <v>18</v>
      </c>
      <c r="F104" s="50"/>
      <c r="G104" s="5">
        <v>14</v>
      </c>
      <c r="H104" s="116"/>
      <c r="I104" s="5">
        <v>14.4</v>
      </c>
      <c r="J104" s="116"/>
      <c r="K104" s="5">
        <v>14.1</v>
      </c>
      <c r="L104" s="116"/>
      <c r="M104" s="5"/>
      <c r="N104" s="116"/>
      <c r="O104" s="5"/>
      <c r="P104" s="116"/>
      <c r="Q104" s="5"/>
      <c r="R104" s="116"/>
      <c r="S104" s="5">
        <f>AVERAGE(K104,I104,G104)</f>
        <v>14.166666666666666</v>
      </c>
    </row>
    <row r="105" spans="2:19" ht="12.75">
      <c r="B105" s="8" t="s">
        <v>88</v>
      </c>
      <c r="C105" s="8"/>
      <c r="D105" s="8" t="s">
        <v>18</v>
      </c>
      <c r="F105" s="50"/>
      <c r="G105">
        <v>25.8</v>
      </c>
      <c r="H105" s="50"/>
      <c r="I105">
        <v>26.5</v>
      </c>
      <c r="J105" s="50"/>
      <c r="K105">
        <v>26.9</v>
      </c>
      <c r="L105" s="50"/>
      <c r="M105"/>
      <c r="N105" s="50"/>
      <c r="O105"/>
      <c r="P105" s="50"/>
      <c r="Q105"/>
      <c r="R105" s="50"/>
      <c r="S105" s="5">
        <f>AVERAGE(K105,I105,G105)</f>
        <v>26.400000000000002</v>
      </c>
    </row>
    <row r="106" spans="2:19" ht="12.75">
      <c r="B106" s="8" t="s">
        <v>81</v>
      </c>
      <c r="C106" s="8"/>
      <c r="D106" s="8" t="s">
        <v>19</v>
      </c>
      <c r="F106" s="50"/>
      <c r="G106" s="63">
        <v>198</v>
      </c>
      <c r="H106" s="117"/>
      <c r="I106" s="63">
        <v>197</v>
      </c>
      <c r="J106" s="117"/>
      <c r="K106" s="63">
        <v>195</v>
      </c>
      <c r="L106" s="117"/>
      <c r="M106" s="63"/>
      <c r="N106" s="117"/>
      <c r="O106" s="63"/>
      <c r="P106" s="117"/>
      <c r="Q106" s="63"/>
      <c r="R106" s="117"/>
      <c r="S106" s="63">
        <f>AVERAGE(K106,I106,G106)</f>
        <v>196.66666666666666</v>
      </c>
    </row>
    <row r="107" spans="2:19" ht="12.75">
      <c r="B107" s="8"/>
      <c r="C107" s="8"/>
      <c r="F107" s="50"/>
      <c r="G107"/>
      <c r="H107" s="50"/>
      <c r="I107"/>
      <c r="J107" s="50"/>
      <c r="K107"/>
      <c r="L107" s="50"/>
      <c r="M107"/>
      <c r="N107" s="50"/>
      <c r="O107"/>
      <c r="P107" s="50"/>
      <c r="Q107"/>
      <c r="R107" s="50"/>
      <c r="S107" s="5"/>
    </row>
    <row r="108" spans="2:19" ht="12.75">
      <c r="B108" s="8" t="s">
        <v>89</v>
      </c>
      <c r="C108" s="8" t="s">
        <v>72</v>
      </c>
      <c r="D108" s="8">
        <v>4</v>
      </c>
      <c r="F108" s="50"/>
      <c r="G108"/>
      <c r="H108" s="50"/>
      <c r="I108"/>
      <c r="J108" s="50"/>
      <c r="K108"/>
      <c r="L108" s="50"/>
      <c r="M108"/>
      <c r="N108" s="50"/>
      <c r="O108"/>
      <c r="P108" s="50"/>
      <c r="Q108"/>
      <c r="R108" s="50"/>
      <c r="S108"/>
    </row>
    <row r="109" spans="2:19" ht="12.75">
      <c r="B109" s="8" t="s">
        <v>82</v>
      </c>
      <c r="C109" s="8"/>
      <c r="D109" s="8" t="s">
        <v>17</v>
      </c>
      <c r="F109" s="50"/>
      <c r="G109">
        <v>51649</v>
      </c>
      <c r="H109" s="50"/>
      <c r="I109">
        <v>49574</v>
      </c>
      <c r="J109" s="50"/>
      <c r="K109">
        <v>50285</v>
      </c>
      <c r="L109" s="50"/>
      <c r="M109">
        <v>51336</v>
      </c>
      <c r="N109" s="50"/>
      <c r="O109">
        <v>51357</v>
      </c>
      <c r="P109" s="50"/>
      <c r="Q109"/>
      <c r="R109" s="50"/>
      <c r="S109" s="63">
        <f>AVERAGE(G109,I109,K109,M109,O109)</f>
        <v>50840.2</v>
      </c>
    </row>
    <row r="110" spans="2:19" ht="12.75">
      <c r="B110" s="8" t="s">
        <v>87</v>
      </c>
      <c r="C110" s="8"/>
      <c r="D110" s="8" t="s">
        <v>18</v>
      </c>
      <c r="F110" s="50"/>
      <c r="G110" s="60">
        <v>14</v>
      </c>
      <c r="H110" s="112"/>
      <c r="I110" s="60">
        <v>14.4</v>
      </c>
      <c r="J110" s="112"/>
      <c r="K110" s="60">
        <v>14.1</v>
      </c>
      <c r="L110" s="112"/>
      <c r="M110" s="60">
        <v>14</v>
      </c>
      <c r="N110" s="112"/>
      <c r="O110" s="60">
        <v>14.2</v>
      </c>
      <c r="P110" s="112"/>
      <c r="Q110" s="60"/>
      <c r="R110" s="112"/>
      <c r="S110" s="60">
        <f>AVERAGE(G110,I110,K110,M110,O110)</f>
        <v>14.14</v>
      </c>
    </row>
    <row r="111" spans="2:19" ht="12.75">
      <c r="B111" s="8" t="s">
        <v>88</v>
      </c>
      <c r="C111" s="8"/>
      <c r="D111" s="8" t="s">
        <v>18</v>
      </c>
      <c r="F111" s="50"/>
      <c r="G111" s="71">
        <v>25.7</v>
      </c>
      <c r="H111" s="115"/>
      <c r="I111" s="71">
        <v>27.1</v>
      </c>
      <c r="J111" s="115"/>
      <c r="K111" s="71">
        <v>26.6</v>
      </c>
      <c r="L111" s="115"/>
      <c r="M111" s="71">
        <v>25.6</v>
      </c>
      <c r="N111" s="115"/>
      <c r="O111" s="71">
        <v>27.2</v>
      </c>
      <c r="P111" s="115"/>
      <c r="Q111" s="71"/>
      <c r="R111" s="115"/>
      <c r="S111" s="71">
        <f>AVERAGE(G111,I111,K111,M111,O111)</f>
        <v>26.439999999999998</v>
      </c>
    </row>
    <row r="112" spans="2:19" ht="12.75">
      <c r="B112" s="8" t="s">
        <v>81</v>
      </c>
      <c r="C112" s="8" t="s">
        <v>142</v>
      </c>
      <c r="D112" s="8" t="s">
        <v>19</v>
      </c>
      <c r="F112" s="50"/>
      <c r="G112"/>
      <c r="H112" s="50"/>
      <c r="I112"/>
      <c r="J112" s="50"/>
      <c r="K112"/>
      <c r="L112" s="50"/>
      <c r="M112"/>
      <c r="N112" s="50"/>
      <c r="O112"/>
      <c r="P112" s="50"/>
      <c r="Q112"/>
      <c r="R112" s="50"/>
      <c r="S112" s="5"/>
    </row>
    <row r="113" spans="2:19" ht="12.75">
      <c r="B113" s="8"/>
      <c r="C113" s="8"/>
      <c r="F113" s="50"/>
      <c r="G113"/>
      <c r="H113" s="50"/>
      <c r="I113"/>
      <c r="J113" s="50"/>
      <c r="K113"/>
      <c r="L113" s="50"/>
      <c r="M113"/>
      <c r="N113" s="50"/>
      <c r="O113"/>
      <c r="P113" s="50"/>
      <c r="Q113"/>
      <c r="R113" s="50"/>
      <c r="S113" s="5"/>
    </row>
    <row r="114" spans="2:19" ht="12.75">
      <c r="B114" s="8"/>
      <c r="C114" s="8"/>
      <c r="F114" s="50"/>
      <c r="G114" s="64"/>
      <c r="H114" s="50"/>
      <c r="I114" s="64"/>
      <c r="J114" s="50"/>
      <c r="K114" s="64"/>
      <c r="L114" s="50"/>
      <c r="M114" s="64"/>
      <c r="N114" s="50"/>
      <c r="O114" s="64"/>
      <c r="P114" s="50"/>
      <c r="Q114" s="64"/>
      <c r="R114" s="50"/>
      <c r="S114" s="64"/>
    </row>
    <row r="115" spans="2:19" ht="12.75">
      <c r="B115" s="8" t="s">
        <v>105</v>
      </c>
      <c r="C115" s="8" t="s">
        <v>423</v>
      </c>
      <c r="D115" s="8" t="s">
        <v>57</v>
      </c>
      <c r="E115" s="8" t="s">
        <v>15</v>
      </c>
      <c r="F115" s="50"/>
      <c r="G115" s="5">
        <f aca="true" t="shared" si="6" ref="G115:G121">G82*454000000/60/G$103/0.028317*(21-7)/(21-G$104)</f>
        <v>0.7668539657950108</v>
      </c>
      <c r="H115" s="50"/>
      <c r="I115" s="5">
        <f aca="true" t="shared" si="7" ref="I115:I121">I82*454000000/60/I$103/0.028317*(21-7)/(21-I$104)</f>
        <v>0.9330011896270298</v>
      </c>
      <c r="J115" s="50"/>
      <c r="K115" s="5">
        <f aca="true" t="shared" si="8" ref="K115:K121">K82*454000000/60/K$103/0.028317*(21-7)/(21-K$104)</f>
        <v>1.1837795374999571</v>
      </c>
      <c r="L115" s="116"/>
      <c r="M115" s="5"/>
      <c r="N115" s="116"/>
      <c r="O115" s="5"/>
      <c r="P115" s="116"/>
      <c r="Q115" s="5"/>
      <c r="R115" s="50"/>
      <c r="S115" s="5">
        <f aca="true" t="shared" si="9" ref="S115:S121">AVERAGE(G115,I115,K115)</f>
        <v>0.9612115643073326</v>
      </c>
    </row>
    <row r="116" spans="2:19" ht="12.75">
      <c r="B116" s="8" t="s">
        <v>84</v>
      </c>
      <c r="C116" s="8" t="s">
        <v>423</v>
      </c>
      <c r="D116" s="8" t="s">
        <v>57</v>
      </c>
      <c r="E116" s="8" t="s">
        <v>15</v>
      </c>
      <c r="F116" s="50" t="s">
        <v>102</v>
      </c>
      <c r="G116" s="5">
        <f t="shared" si="6"/>
        <v>0.08610860209138893</v>
      </c>
      <c r="H116" s="50" t="s">
        <v>102</v>
      </c>
      <c r="I116" s="5">
        <f t="shared" si="7"/>
        <v>0.0848285585242009</v>
      </c>
      <c r="J116" s="50" t="s">
        <v>102</v>
      </c>
      <c r="K116" s="5">
        <f t="shared" si="8"/>
        <v>0.07888276372613351</v>
      </c>
      <c r="L116" s="116"/>
      <c r="M116" s="5"/>
      <c r="N116" s="116"/>
      <c r="O116" s="5"/>
      <c r="P116" s="116"/>
      <c r="Q116" s="5"/>
      <c r="R116" s="50">
        <v>100</v>
      </c>
      <c r="S116" s="5">
        <f t="shared" si="9"/>
        <v>0.08327330811390778</v>
      </c>
    </row>
    <row r="117" spans="2:19" ht="12.75">
      <c r="B117" s="8" t="s">
        <v>106</v>
      </c>
      <c r="C117" s="8" t="s">
        <v>423</v>
      </c>
      <c r="D117" s="8" t="s">
        <v>57</v>
      </c>
      <c r="E117" s="8" t="s">
        <v>15</v>
      </c>
      <c r="F117" s="50"/>
      <c r="G117" s="5">
        <f t="shared" si="6"/>
        <v>1.8088222074543336</v>
      </c>
      <c r="H117" s="50"/>
      <c r="I117" s="5">
        <f t="shared" si="7"/>
        <v>3.3886241754008344</v>
      </c>
      <c r="J117" s="50"/>
      <c r="K117" s="5">
        <f t="shared" si="8"/>
        <v>5.9188976874997845</v>
      </c>
      <c r="L117" s="116"/>
      <c r="M117" s="5"/>
      <c r="N117" s="116"/>
      <c r="O117" s="5"/>
      <c r="P117" s="116"/>
      <c r="Q117" s="5"/>
      <c r="R117" s="50"/>
      <c r="S117" s="5">
        <f t="shared" si="9"/>
        <v>3.7054480234516505</v>
      </c>
    </row>
    <row r="118" spans="2:19" ht="12.75">
      <c r="B118" s="8" t="s">
        <v>145</v>
      </c>
      <c r="C118" s="8" t="s">
        <v>423</v>
      </c>
      <c r="D118" s="8" t="s">
        <v>57</v>
      </c>
      <c r="E118" s="8" t="s">
        <v>15</v>
      </c>
      <c r="F118" s="50"/>
      <c r="G118" s="5">
        <f t="shared" si="6"/>
        <v>5.339816456736445</v>
      </c>
      <c r="H118" s="50"/>
      <c r="I118" s="5">
        <f t="shared" si="7"/>
        <v>6.449681347179589</v>
      </c>
      <c r="J118" s="50"/>
      <c r="K118" s="5">
        <f t="shared" si="8"/>
        <v>3.239251279886246</v>
      </c>
      <c r="L118" s="116"/>
      <c r="M118" s="5"/>
      <c r="N118" s="116"/>
      <c r="O118" s="5"/>
      <c r="P118" s="116"/>
      <c r="Q118" s="5"/>
      <c r="R118" s="50"/>
      <c r="S118" s="5">
        <f t="shared" si="9"/>
        <v>5.009583027934094</v>
      </c>
    </row>
    <row r="119" spans="2:19" ht="12.75">
      <c r="B119" s="8" t="s">
        <v>83</v>
      </c>
      <c r="C119" s="8" t="s">
        <v>423</v>
      </c>
      <c r="D119" s="8" t="s">
        <v>57</v>
      </c>
      <c r="E119" s="8" t="s">
        <v>15</v>
      </c>
      <c r="F119" s="50"/>
      <c r="G119" s="5">
        <f t="shared" si="6"/>
        <v>14.838840863547526</v>
      </c>
      <c r="H119" s="50"/>
      <c r="I119" s="5">
        <f t="shared" si="7"/>
        <v>16.378350181104036</v>
      </c>
      <c r="J119" s="50"/>
      <c r="K119" s="5">
        <f t="shared" si="8"/>
        <v>15.173901344317631</v>
      </c>
      <c r="L119" s="116"/>
      <c r="M119" s="5"/>
      <c r="N119" s="116"/>
      <c r="O119" s="5"/>
      <c r="P119" s="116"/>
      <c r="Q119" s="5"/>
      <c r="R119" s="50"/>
      <c r="S119" s="5">
        <f t="shared" si="9"/>
        <v>15.463697462989733</v>
      </c>
    </row>
    <row r="120" spans="2:19" ht="12.75">
      <c r="B120" s="8" t="s">
        <v>85</v>
      </c>
      <c r="C120" s="8" t="s">
        <v>423</v>
      </c>
      <c r="D120" s="8" t="s">
        <v>57</v>
      </c>
      <c r="E120" s="8" t="s">
        <v>15</v>
      </c>
      <c r="F120" s="50"/>
      <c r="G120" s="5">
        <f t="shared" si="6"/>
        <v>197.1291268004124</v>
      </c>
      <c r="H120" s="50"/>
      <c r="I120" s="5">
        <f t="shared" si="7"/>
        <v>63.70613449753569</v>
      </c>
      <c r="J120" s="50"/>
      <c r="K120" s="5">
        <f t="shared" si="8"/>
        <v>64.5697929545431</v>
      </c>
      <c r="L120" s="116"/>
      <c r="M120" s="5"/>
      <c r="N120" s="116"/>
      <c r="O120" s="5"/>
      <c r="P120" s="116"/>
      <c r="Q120" s="5"/>
      <c r="R120" s="50"/>
      <c r="S120" s="5">
        <f t="shared" si="9"/>
        <v>108.46835141749706</v>
      </c>
    </row>
    <row r="121" spans="2:19" ht="12.75">
      <c r="B121" s="8" t="s">
        <v>107</v>
      </c>
      <c r="C121" s="8" t="s">
        <v>423</v>
      </c>
      <c r="D121" s="8" t="s">
        <v>57</v>
      </c>
      <c r="E121" s="8" t="s">
        <v>15</v>
      </c>
      <c r="F121" s="50"/>
      <c r="G121" s="5">
        <f t="shared" si="6"/>
        <v>3.357693918029002</v>
      </c>
      <c r="H121" s="50"/>
      <c r="I121" s="5">
        <f t="shared" si="7"/>
        <v>5.003868365675233</v>
      </c>
      <c r="J121" s="50"/>
      <c r="K121" s="5">
        <f t="shared" si="8"/>
        <v>1.2591109626135906</v>
      </c>
      <c r="L121" s="116"/>
      <c r="M121" s="5"/>
      <c r="N121" s="116"/>
      <c r="O121" s="5"/>
      <c r="P121" s="116"/>
      <c r="Q121" s="5"/>
      <c r="R121" s="50"/>
      <c r="S121" s="5">
        <f t="shared" si="9"/>
        <v>3.2068910821059418</v>
      </c>
    </row>
    <row r="122" spans="2:19" ht="12.75">
      <c r="B122" s="8"/>
      <c r="C122" s="8"/>
      <c r="F122" s="50"/>
      <c r="G122" s="67"/>
      <c r="H122" s="50"/>
      <c r="I122" s="67"/>
      <c r="J122" s="50"/>
      <c r="K122" s="67"/>
      <c r="L122" s="50"/>
      <c r="M122" s="67"/>
      <c r="N122" s="50"/>
      <c r="O122" s="67"/>
      <c r="P122" s="50"/>
      <c r="Q122" s="67"/>
      <c r="R122" s="50"/>
      <c r="S122" s="64"/>
    </row>
    <row r="123" spans="2:19" ht="12.75">
      <c r="B123" s="8" t="s">
        <v>58</v>
      </c>
      <c r="C123" s="8" t="s">
        <v>423</v>
      </c>
      <c r="D123" s="8" t="s">
        <v>57</v>
      </c>
      <c r="E123" s="8" t="s">
        <v>15</v>
      </c>
      <c r="F123" s="50"/>
      <c r="G123" s="5">
        <f>G119+G117</f>
        <v>16.64766307100186</v>
      </c>
      <c r="H123" s="116"/>
      <c r="I123" s="5">
        <f>I119+I117</f>
        <v>19.76697435650487</v>
      </c>
      <c r="J123" s="116"/>
      <c r="K123" s="5">
        <f>K119+K117</f>
        <v>21.092799031817414</v>
      </c>
      <c r="L123" s="116"/>
      <c r="M123" s="5"/>
      <c r="N123" s="116"/>
      <c r="O123" s="5"/>
      <c r="P123" s="116"/>
      <c r="Q123" s="5"/>
      <c r="R123" s="116"/>
      <c r="S123" s="5">
        <f>AVERAGE(G123,I123,K123)</f>
        <v>19.169145486441383</v>
      </c>
    </row>
    <row r="124" spans="2:19" ht="12.75">
      <c r="B124" s="8" t="s">
        <v>59</v>
      </c>
      <c r="C124" s="8" t="s">
        <v>423</v>
      </c>
      <c r="D124" s="8" t="s">
        <v>57</v>
      </c>
      <c r="E124" s="8" t="s">
        <v>15</v>
      </c>
      <c r="F124" s="50">
        <f>G116/G124*100</f>
        <v>1.390467861827722</v>
      </c>
      <c r="G124" s="5">
        <f>G115+G116+G118</f>
        <v>6.192779024622845</v>
      </c>
      <c r="H124" s="50">
        <f>I116/I124*100</f>
        <v>1.135968295745035</v>
      </c>
      <c r="I124" s="5">
        <f>I115+I116+I118</f>
        <v>7.46751109533082</v>
      </c>
      <c r="J124" s="50">
        <f>K116/K124*100</f>
        <v>1.7522051968541583</v>
      </c>
      <c r="K124" s="5">
        <f>K115+K116+K118</f>
        <v>4.501913581112337</v>
      </c>
      <c r="L124" s="116"/>
      <c r="M124" s="5"/>
      <c r="N124" s="116"/>
      <c r="O124" s="5"/>
      <c r="P124" s="116"/>
      <c r="Q124" s="5"/>
      <c r="R124" s="116">
        <f>(F124*G124+H124*I124+J124*K124)/(3*S124)</f>
        <v>1.3754934613306897</v>
      </c>
      <c r="S124" s="5">
        <f>AVERAGE(G124,I124,K124)</f>
        <v>6.054067900355334</v>
      </c>
    </row>
    <row r="126" spans="1:19" ht="12.75">
      <c r="A126" s="17">
        <v>12</v>
      </c>
      <c r="B126" s="21" t="s">
        <v>188</v>
      </c>
      <c r="C126" s="21" t="s">
        <v>189</v>
      </c>
      <c r="G126" s="19" t="s">
        <v>316</v>
      </c>
      <c r="I126" s="20" t="s">
        <v>317</v>
      </c>
      <c r="K126" s="19" t="s">
        <v>318</v>
      </c>
      <c r="M126" s="19" t="s">
        <v>319</v>
      </c>
      <c r="O126" s="19" t="s">
        <v>320</v>
      </c>
      <c r="Q126" s="19" t="s">
        <v>321</v>
      </c>
      <c r="S126" s="17" t="s">
        <v>47</v>
      </c>
    </row>
    <row r="127" spans="2:18" ht="12.75">
      <c r="B127" s="8"/>
      <c r="C127" s="8"/>
      <c r="D127" s="12"/>
      <c r="E127" s="12"/>
      <c r="F127" s="45"/>
      <c r="G127" s="12"/>
      <c r="H127" s="45"/>
      <c r="I127" s="22"/>
      <c r="J127" s="45"/>
      <c r="K127" s="12"/>
      <c r="L127" s="45"/>
      <c r="M127" s="12"/>
      <c r="N127" s="45"/>
      <c r="O127" s="12"/>
      <c r="P127" s="45"/>
      <c r="Q127" s="12"/>
      <c r="R127" s="45"/>
    </row>
    <row r="128" spans="2:19" ht="12.75">
      <c r="B128" s="8" t="s">
        <v>108</v>
      </c>
      <c r="C128" s="8" t="s">
        <v>118</v>
      </c>
      <c r="D128" s="12" t="s">
        <v>16</v>
      </c>
      <c r="E128" s="12"/>
      <c r="F128" s="50"/>
      <c r="G128"/>
      <c r="H128" s="50"/>
      <c r="I128"/>
      <c r="J128" s="50"/>
      <c r="K128"/>
      <c r="L128" s="50"/>
      <c r="M128"/>
      <c r="N128" s="50"/>
      <c r="O128"/>
      <c r="P128" s="50"/>
      <c r="Q128"/>
      <c r="R128" s="50"/>
      <c r="S128" s="56"/>
    </row>
    <row r="129" spans="2:19" ht="12.75">
      <c r="B129" s="8" t="s">
        <v>110</v>
      </c>
      <c r="C129" s="8" t="s">
        <v>118</v>
      </c>
      <c r="D129" s="12" t="s">
        <v>16</v>
      </c>
      <c r="E129" s="12"/>
      <c r="F129" s="50"/>
      <c r="G129"/>
      <c r="H129" s="50"/>
      <c r="I129"/>
      <c r="J129" s="50"/>
      <c r="K129"/>
      <c r="L129" s="50"/>
      <c r="M129"/>
      <c r="N129" s="50"/>
      <c r="O129"/>
      <c r="P129" s="50"/>
      <c r="Q129"/>
      <c r="R129" s="50"/>
      <c r="S129" s="56"/>
    </row>
    <row r="130" spans="2:18" ht="12.75">
      <c r="B130" s="8"/>
      <c r="C130" s="8"/>
      <c r="D130" s="12"/>
      <c r="E130" s="12"/>
      <c r="F130" s="50"/>
      <c r="G130"/>
      <c r="H130" s="50"/>
      <c r="I130"/>
      <c r="J130" s="50"/>
      <c r="K130"/>
      <c r="L130" s="50"/>
      <c r="M130"/>
      <c r="N130" s="50"/>
      <c r="O130"/>
      <c r="P130" s="50"/>
      <c r="Q130"/>
      <c r="R130" s="50"/>
    </row>
    <row r="131" spans="2:19" ht="12.75">
      <c r="B131" s="8" t="s">
        <v>13</v>
      </c>
      <c r="C131" s="8" t="s">
        <v>421</v>
      </c>
      <c r="D131" s="8" t="s">
        <v>14</v>
      </c>
      <c r="E131" s="8" t="s">
        <v>15</v>
      </c>
      <c r="F131" s="50"/>
      <c r="G131" s="69">
        <v>0.0071</v>
      </c>
      <c r="H131" s="110"/>
      <c r="I131" s="69">
        <v>0.005</v>
      </c>
      <c r="J131" s="110"/>
      <c r="K131" s="69">
        <v>0.0031</v>
      </c>
      <c r="L131" s="110"/>
      <c r="M131" s="69">
        <v>0.0031</v>
      </c>
      <c r="N131" s="110"/>
      <c r="O131" s="69">
        <v>0.0028</v>
      </c>
      <c r="P131" s="110"/>
      <c r="Q131" s="69"/>
      <c r="R131" s="110"/>
      <c r="S131" s="69">
        <f>AVERAGE(K131,I131,G131,M131,O131)</f>
        <v>0.00422</v>
      </c>
    </row>
    <row r="132" spans="2:19" ht="12.75">
      <c r="B132" s="8"/>
      <c r="C132" s="8"/>
      <c r="F132" s="50"/>
      <c r="G132"/>
      <c r="H132" s="50"/>
      <c r="I132"/>
      <c r="J132" s="50"/>
      <c r="K132"/>
      <c r="L132" s="50"/>
      <c r="M132"/>
      <c r="N132" s="50"/>
      <c r="O132"/>
      <c r="P132" s="50"/>
      <c r="Q132"/>
      <c r="R132" s="50"/>
      <c r="S132" s="54"/>
    </row>
    <row r="133" spans="2:19" ht="12.75">
      <c r="B133" s="8" t="s">
        <v>50</v>
      </c>
      <c r="C133" s="8"/>
      <c r="D133" s="8" t="s">
        <v>53</v>
      </c>
      <c r="F133" s="50" t="s">
        <v>102</v>
      </c>
      <c r="G133" s="54">
        <v>0.014</v>
      </c>
      <c r="H133" s="111" t="s">
        <v>102</v>
      </c>
      <c r="I133" s="54">
        <v>0.014</v>
      </c>
      <c r="J133" s="111" t="s">
        <v>102</v>
      </c>
      <c r="K133" s="54">
        <v>0.014</v>
      </c>
      <c r="L133" s="111"/>
      <c r="M133" s="54"/>
      <c r="N133" s="111"/>
      <c r="O133" s="54"/>
      <c r="P133" s="111"/>
      <c r="Q133" s="54"/>
      <c r="R133" s="111" t="s">
        <v>102</v>
      </c>
      <c r="S133" s="54">
        <f>AVERAGE(K133,I133,G133)</f>
        <v>0.014</v>
      </c>
    </row>
    <row r="134" spans="2:19" ht="12.75">
      <c r="B134" s="8" t="s">
        <v>51</v>
      </c>
      <c r="C134" s="8" t="s">
        <v>142</v>
      </c>
      <c r="D134" s="8" t="s">
        <v>53</v>
      </c>
      <c r="F134" s="50"/>
      <c r="G134" s="69"/>
      <c r="H134" s="110"/>
      <c r="I134" s="69"/>
      <c r="J134" s="110"/>
      <c r="K134" s="69"/>
      <c r="L134" s="110"/>
      <c r="M134" s="69"/>
      <c r="N134" s="110"/>
      <c r="O134" s="69"/>
      <c r="P134" s="110"/>
      <c r="Q134" s="69"/>
      <c r="R134" s="110"/>
      <c r="S134" s="69"/>
    </row>
    <row r="135" spans="2:19" ht="12.75">
      <c r="B135" s="8"/>
      <c r="C135" s="8"/>
      <c r="F135" s="50"/>
      <c r="G135"/>
      <c r="H135" s="50"/>
      <c r="I135"/>
      <c r="J135" s="50"/>
      <c r="K135"/>
      <c r="L135" s="50"/>
      <c r="M135"/>
      <c r="N135" s="50"/>
      <c r="O135"/>
      <c r="P135" s="50"/>
      <c r="Q135"/>
      <c r="R135" s="50"/>
      <c r="S135" s="54"/>
    </row>
    <row r="136" spans="2:19" ht="12.75">
      <c r="B136" s="8" t="s">
        <v>50</v>
      </c>
      <c r="C136" s="8" t="s">
        <v>422</v>
      </c>
      <c r="D136" s="8" t="s">
        <v>16</v>
      </c>
      <c r="E136" s="8" t="s">
        <v>15</v>
      </c>
      <c r="F136" s="50" t="s">
        <v>102</v>
      </c>
      <c r="G136" s="60">
        <f>G133/36.5*386.7/60/G$158*1000000*(21-7)/(21-G$159)</f>
        <v>0.11647245415256649</v>
      </c>
      <c r="H136" s="112" t="s">
        <v>102</v>
      </c>
      <c r="I136" s="60">
        <f>I133/36.5*386.7/60/I$158*1000000*(21-7)/(21-I$159)</f>
        <v>0.11053943769318195</v>
      </c>
      <c r="J136" s="112" t="s">
        <v>102</v>
      </c>
      <c r="K136" s="60">
        <f>K133/36.5*386.7/60/K$158*1000000*(21-7)/(21-K$159)</f>
        <v>0.11254894963727498</v>
      </c>
      <c r="L136" s="112"/>
      <c r="M136" s="60"/>
      <c r="N136" s="112"/>
      <c r="O136" s="60"/>
      <c r="P136" s="112"/>
      <c r="Q136" s="60"/>
      <c r="R136" s="117">
        <v>100</v>
      </c>
      <c r="S136" s="60">
        <f>AVERAGE(K136,I136,G136,M136,O136)</f>
        <v>0.11318694716100781</v>
      </c>
    </row>
    <row r="137" spans="2:19" ht="12.75">
      <c r="B137" s="8"/>
      <c r="C137" s="8"/>
      <c r="F137" s="50"/>
      <c r="G137"/>
      <c r="H137" s="50"/>
      <c r="I137"/>
      <c r="J137" s="50"/>
      <c r="K137"/>
      <c r="L137" s="50"/>
      <c r="M137"/>
      <c r="N137" s="50"/>
      <c r="O137"/>
      <c r="P137" s="50"/>
      <c r="Q137"/>
      <c r="R137" s="50"/>
      <c r="S137" s="5"/>
    </row>
    <row r="138" spans="2:19" ht="12.75">
      <c r="B138" s="8" t="s">
        <v>105</v>
      </c>
      <c r="C138" s="8"/>
      <c r="D138" s="8" t="s">
        <v>53</v>
      </c>
      <c r="F138" s="50"/>
      <c r="G138" s="64">
        <v>0.000184</v>
      </c>
      <c r="H138" s="50"/>
      <c r="I138" s="64">
        <v>6.76E-05</v>
      </c>
      <c r="J138" s="50"/>
      <c r="K138" s="64">
        <v>5.4E-05</v>
      </c>
      <c r="L138" s="50"/>
      <c r="M138" s="64"/>
      <c r="N138" s="50"/>
      <c r="O138" s="64"/>
      <c r="P138" s="50"/>
      <c r="Q138" s="64"/>
      <c r="R138" s="50"/>
      <c r="S138" s="64">
        <f aca="true" t="shared" si="10" ref="S138:S144">AVERAGE(G138,I138,K138)</f>
        <v>0.00010186666666666667</v>
      </c>
    </row>
    <row r="139" spans="2:19" ht="12.75">
      <c r="B139" s="8" t="s">
        <v>84</v>
      </c>
      <c r="C139" s="8"/>
      <c r="D139" s="8" t="s">
        <v>53</v>
      </c>
      <c r="F139" s="50" t="s">
        <v>102</v>
      </c>
      <c r="G139" s="64">
        <v>7.37E-06</v>
      </c>
      <c r="H139" s="50" t="s">
        <v>102</v>
      </c>
      <c r="I139" s="64">
        <v>7.77E-06</v>
      </c>
      <c r="J139" s="50" t="s">
        <v>102</v>
      </c>
      <c r="K139" s="64">
        <v>7.71E-06</v>
      </c>
      <c r="L139" s="50"/>
      <c r="M139" s="64"/>
      <c r="N139" s="50"/>
      <c r="O139" s="64"/>
      <c r="P139" s="50"/>
      <c r="Q139" s="64"/>
      <c r="R139" s="50"/>
      <c r="S139" s="64">
        <f t="shared" si="10"/>
        <v>7.616666666666667E-06</v>
      </c>
    </row>
    <row r="140" spans="2:19" ht="12.75">
      <c r="B140" s="8" t="s">
        <v>106</v>
      </c>
      <c r="C140" s="8"/>
      <c r="D140" s="8" t="s">
        <v>53</v>
      </c>
      <c r="F140" s="50"/>
      <c r="G140" s="64">
        <v>0.000273</v>
      </c>
      <c r="H140" s="50"/>
      <c r="I140" s="64">
        <v>0.000599</v>
      </c>
      <c r="J140" s="50"/>
      <c r="K140" s="64">
        <v>0.000355</v>
      </c>
      <c r="L140" s="50"/>
      <c r="M140" s="64"/>
      <c r="N140" s="50"/>
      <c r="O140" s="64"/>
      <c r="P140" s="50"/>
      <c r="Q140" s="64"/>
      <c r="R140" s="50"/>
      <c r="S140" s="64">
        <f t="shared" si="10"/>
        <v>0.000409</v>
      </c>
    </row>
    <row r="141" spans="2:19" ht="12.75">
      <c r="B141" s="8" t="s">
        <v>145</v>
      </c>
      <c r="C141" s="8"/>
      <c r="D141" s="8" t="s">
        <v>53</v>
      </c>
      <c r="F141" s="50"/>
      <c r="G141" s="64">
        <v>0.000464</v>
      </c>
      <c r="H141" s="50"/>
      <c r="I141" s="64">
        <v>0.00111</v>
      </c>
      <c r="J141" s="50"/>
      <c r="K141" s="64">
        <v>0.000563</v>
      </c>
      <c r="L141" s="50"/>
      <c r="M141" s="64"/>
      <c r="N141" s="50"/>
      <c r="O141" s="64"/>
      <c r="P141" s="50"/>
      <c r="Q141" s="64"/>
      <c r="R141" s="50"/>
      <c r="S141" s="64">
        <f t="shared" si="10"/>
        <v>0.0007123333333333334</v>
      </c>
    </row>
    <row r="142" spans="2:19" ht="12.75">
      <c r="B142" s="8" t="s">
        <v>83</v>
      </c>
      <c r="C142" s="8"/>
      <c r="D142" s="8" t="s">
        <v>53</v>
      </c>
      <c r="F142" s="50"/>
      <c r="G142" s="64">
        <v>0.000608</v>
      </c>
      <c r="H142" s="50"/>
      <c r="I142" s="64">
        <v>0.000393</v>
      </c>
      <c r="J142" s="50"/>
      <c r="K142" s="64">
        <v>0.000482</v>
      </c>
      <c r="L142" s="50"/>
      <c r="M142" s="64"/>
      <c r="N142" s="50"/>
      <c r="O142" s="64"/>
      <c r="P142" s="50"/>
      <c r="Q142" s="64"/>
      <c r="R142" s="50"/>
      <c r="S142" s="64">
        <f t="shared" si="10"/>
        <v>0.0004943333333333334</v>
      </c>
    </row>
    <row r="143" spans="2:19" ht="12.75">
      <c r="B143" s="8" t="s">
        <v>85</v>
      </c>
      <c r="C143" s="8"/>
      <c r="D143" s="8" t="s">
        <v>53</v>
      </c>
      <c r="F143" s="50"/>
      <c r="G143" s="64">
        <v>0.00162</v>
      </c>
      <c r="H143" s="50"/>
      <c r="I143" s="64">
        <v>0.00162</v>
      </c>
      <c r="J143" s="50"/>
      <c r="K143" s="64">
        <v>0.00231</v>
      </c>
      <c r="L143" s="50"/>
      <c r="M143" s="64"/>
      <c r="N143" s="50"/>
      <c r="O143" s="64"/>
      <c r="P143" s="50"/>
      <c r="Q143" s="64"/>
      <c r="R143" s="50"/>
      <c r="S143" s="64">
        <f t="shared" si="10"/>
        <v>0.0018499999999999999</v>
      </c>
    </row>
    <row r="144" spans="2:19" ht="12.75">
      <c r="B144" s="8" t="s">
        <v>107</v>
      </c>
      <c r="C144" s="8"/>
      <c r="D144" s="8" t="s">
        <v>53</v>
      </c>
      <c r="F144" s="50"/>
      <c r="G144" s="64">
        <v>2.87E-05</v>
      </c>
      <c r="H144" s="50"/>
      <c r="I144" s="64">
        <v>0.000108</v>
      </c>
      <c r="J144" s="50"/>
      <c r="K144" s="64">
        <v>0.00111</v>
      </c>
      <c r="L144" s="50"/>
      <c r="M144" s="64"/>
      <c r="N144" s="50"/>
      <c r="O144" s="64"/>
      <c r="P144" s="50"/>
      <c r="Q144" s="64"/>
      <c r="R144" s="50"/>
      <c r="S144" s="64">
        <f t="shared" si="10"/>
        <v>0.0004155666666666667</v>
      </c>
    </row>
    <row r="145" spans="2:19" ht="12.75">
      <c r="B145" s="8"/>
      <c r="C145" s="8"/>
      <c r="F145" s="50"/>
      <c r="G145"/>
      <c r="H145" s="50"/>
      <c r="I145"/>
      <c r="J145" s="50"/>
      <c r="K145"/>
      <c r="L145" s="50"/>
      <c r="M145"/>
      <c r="N145" s="50"/>
      <c r="O145"/>
      <c r="P145" s="50"/>
      <c r="Q145"/>
      <c r="R145" s="50"/>
      <c r="S145" s="5"/>
    </row>
    <row r="146" spans="2:19" ht="12.75">
      <c r="B146" s="8" t="s">
        <v>111</v>
      </c>
      <c r="C146" s="8" t="s">
        <v>144</v>
      </c>
      <c r="G146" s="23"/>
      <c r="I146" s="24"/>
      <c r="K146" s="23"/>
      <c r="M146" s="23"/>
      <c r="O146" s="23"/>
      <c r="Q146" s="23"/>
      <c r="S146" s="55"/>
    </row>
    <row r="147" spans="2:19" ht="12.75">
      <c r="B147" s="8" t="s">
        <v>112</v>
      </c>
      <c r="C147" s="8"/>
      <c r="D147" s="8" t="s">
        <v>53</v>
      </c>
      <c r="G147" s="70">
        <f>AVERAGE(696.1,696.1,696.1)</f>
        <v>696.1</v>
      </c>
      <c r="H147" s="113"/>
      <c r="I147" s="70">
        <f>AVERAGE(677.8,677.8,677.8)</f>
        <v>677.8</v>
      </c>
      <c r="J147" s="113"/>
      <c r="K147" s="70">
        <f>AVERAGE(728,728,728)</f>
        <v>728</v>
      </c>
      <c r="L147" s="113"/>
      <c r="M147" s="70"/>
      <c r="N147" s="113"/>
      <c r="O147" s="70"/>
      <c r="P147" s="113"/>
      <c r="Q147" s="70"/>
      <c r="S147" s="55">
        <f>AVERAGE(G147,I147,K147)</f>
        <v>700.6333333333333</v>
      </c>
    </row>
    <row r="148" spans="2:19" ht="12.75">
      <c r="B148" s="8" t="s">
        <v>113</v>
      </c>
      <c r="C148" s="8" t="s">
        <v>424</v>
      </c>
      <c r="D148" s="8" t="s">
        <v>53</v>
      </c>
      <c r="G148" s="57">
        <f>AVERAGE(0.0000636,0.0000956,0.000164)</f>
        <v>0.00010773333333333335</v>
      </c>
      <c r="I148" s="57">
        <f>AVERAGE(0.0000745,0.0000816,0.0000837)</f>
        <v>7.993333333333333E-05</v>
      </c>
      <c r="K148" s="57">
        <f>AVERAGE(0.0000661,0.000108,0.000118)</f>
        <v>9.736666666666667E-05</v>
      </c>
      <c r="M148" s="57"/>
      <c r="O148" s="57"/>
      <c r="Q148" s="57"/>
      <c r="S148" s="25">
        <f>AVERAGE(G148,I148,K148)</f>
        <v>9.501111111111112E-05</v>
      </c>
    </row>
    <row r="149" spans="2:19" ht="12.75">
      <c r="B149" s="8" t="s">
        <v>52</v>
      </c>
      <c r="C149" s="8" t="s">
        <v>424</v>
      </c>
      <c r="D149" s="8" t="s">
        <v>18</v>
      </c>
      <c r="G149" s="74">
        <f>(G147-G148)/G147*100</f>
        <v>99.99998452329646</v>
      </c>
      <c r="H149" s="114"/>
      <c r="I149" s="74">
        <f>(I147-I148)/I147*100</f>
        <v>99.99998820694402</v>
      </c>
      <c r="J149" s="114"/>
      <c r="K149" s="74">
        <f>(K147-K148)/K147*100</f>
        <v>99.99998662545788</v>
      </c>
      <c r="L149" s="114"/>
      <c r="M149" s="62"/>
      <c r="N149" s="114"/>
      <c r="O149" s="62"/>
      <c r="P149" s="114"/>
      <c r="Q149" s="62"/>
      <c r="S149" s="74">
        <f>(S147-S148)/S147*100</f>
        <v>99.99998643925339</v>
      </c>
    </row>
    <row r="150" spans="2:19" ht="12.75">
      <c r="B150" s="8"/>
      <c r="C150" s="8"/>
      <c r="G150" s="62"/>
      <c r="H150" s="114"/>
      <c r="I150" s="62"/>
      <c r="J150" s="114"/>
      <c r="K150" s="62"/>
      <c r="L150" s="114"/>
      <c r="M150" s="62"/>
      <c r="N150" s="114"/>
      <c r="O150" s="62"/>
      <c r="P150" s="114"/>
      <c r="Q150" s="62"/>
      <c r="S150" s="23"/>
    </row>
    <row r="151" spans="2:19" ht="12.75">
      <c r="B151" s="8" t="s">
        <v>89</v>
      </c>
      <c r="C151" s="8" t="s">
        <v>13</v>
      </c>
      <c r="D151" s="8" t="s">
        <v>421</v>
      </c>
      <c r="F151" s="50"/>
      <c r="G151"/>
      <c r="H151" s="50"/>
      <c r="I151"/>
      <c r="J151" s="50"/>
      <c r="K151"/>
      <c r="L151" s="50"/>
      <c r="M151"/>
      <c r="N151" s="50"/>
      <c r="O151"/>
      <c r="P151" s="50"/>
      <c r="Q151"/>
      <c r="R151" s="50"/>
      <c r="S151"/>
    </row>
    <row r="152" spans="2:19" ht="12.75">
      <c r="B152" s="8" t="s">
        <v>82</v>
      </c>
      <c r="C152" s="8"/>
      <c r="D152" s="8" t="s">
        <v>17</v>
      </c>
      <c r="F152" s="50"/>
      <c r="G152">
        <v>45926</v>
      </c>
      <c r="H152" s="50"/>
      <c r="I152">
        <v>48391</v>
      </c>
      <c r="J152" s="50"/>
      <c r="K152">
        <v>47527</v>
      </c>
      <c r="L152" s="50"/>
      <c r="M152">
        <v>49049</v>
      </c>
      <c r="N152" s="50"/>
      <c r="O152">
        <v>46713</v>
      </c>
      <c r="P152" s="50"/>
      <c r="Q152"/>
      <c r="R152" s="50"/>
      <c r="S152" s="63">
        <f>AVERAGE(G152,I152,K152,M152,O152,Q152)</f>
        <v>47521.2</v>
      </c>
    </row>
    <row r="153" spans="2:19" ht="12.75">
      <c r="B153" s="8" t="s">
        <v>87</v>
      </c>
      <c r="C153" s="8"/>
      <c r="D153" s="8" t="s">
        <v>18</v>
      </c>
      <c r="F153" s="50"/>
      <c r="G153" s="71">
        <v>14.53</v>
      </c>
      <c r="H153" s="115"/>
      <c r="I153" s="71">
        <v>14.53</v>
      </c>
      <c r="J153" s="115"/>
      <c r="K153" s="71">
        <v>14.53</v>
      </c>
      <c r="L153" s="115"/>
      <c r="M153" s="71">
        <v>14.49</v>
      </c>
      <c r="N153" s="115"/>
      <c r="O153" s="71">
        <v>14.49</v>
      </c>
      <c r="P153" s="115"/>
      <c r="Q153" s="71"/>
      <c r="R153" s="115"/>
      <c r="S153" s="60">
        <f>AVERAGE(G153,I153,K153,M153,O153,Q153)</f>
        <v>14.514</v>
      </c>
    </row>
    <row r="154" spans="2:19" ht="12.75">
      <c r="B154" s="8" t="s">
        <v>88</v>
      </c>
      <c r="C154" s="8"/>
      <c r="D154" s="8" t="s">
        <v>18</v>
      </c>
      <c r="F154" s="50"/>
      <c r="G154">
        <v>28.1</v>
      </c>
      <c r="H154" s="50"/>
      <c r="I154">
        <v>25.8</v>
      </c>
      <c r="J154" s="50"/>
      <c r="K154">
        <v>26.3</v>
      </c>
      <c r="L154" s="50"/>
      <c r="M154">
        <v>27.1</v>
      </c>
      <c r="N154" s="50"/>
      <c r="O154">
        <v>26.1</v>
      </c>
      <c r="P154" s="50"/>
      <c r="Q154"/>
      <c r="R154" s="50"/>
      <c r="S154" s="60">
        <f>AVERAGE(G154,I154,K154,M154,O154,Q154)</f>
        <v>26.68</v>
      </c>
    </row>
    <row r="155" spans="2:19" ht="12.75">
      <c r="B155" s="8" t="s">
        <v>81</v>
      </c>
      <c r="C155" s="8"/>
      <c r="D155" s="8" t="s">
        <v>19</v>
      </c>
      <c r="F155" s="50"/>
      <c r="G155">
        <v>196</v>
      </c>
      <c r="H155" s="50"/>
      <c r="I155">
        <v>196</v>
      </c>
      <c r="J155" s="50"/>
      <c r="K155">
        <v>197</v>
      </c>
      <c r="L155" s="50"/>
      <c r="M155">
        <v>197</v>
      </c>
      <c r="N155" s="50"/>
      <c r="O155">
        <v>195</v>
      </c>
      <c r="P155" s="50"/>
      <c r="Q155"/>
      <c r="R155" s="50"/>
      <c r="S155" s="5">
        <f>AVERAGE(G155,I155,K155,M155,O155,Q155)</f>
        <v>196.2</v>
      </c>
    </row>
    <row r="156" spans="2:19" ht="12.75">
      <c r="B156" s="8"/>
      <c r="C156" s="8"/>
      <c r="F156" s="50"/>
      <c r="G156"/>
      <c r="H156" s="50"/>
      <c r="I156"/>
      <c r="J156" s="50"/>
      <c r="K156"/>
      <c r="L156" s="50"/>
      <c r="M156"/>
      <c r="N156" s="50"/>
      <c r="O156"/>
      <c r="P156" s="50"/>
      <c r="Q156"/>
      <c r="R156" s="50"/>
      <c r="S156"/>
    </row>
    <row r="157" spans="2:19" ht="12.75">
      <c r="B157" s="8" t="s">
        <v>89</v>
      </c>
      <c r="C157" s="8" t="s">
        <v>50</v>
      </c>
      <c r="D157" s="8" t="s">
        <v>422</v>
      </c>
      <c r="F157" s="50"/>
      <c r="G157"/>
      <c r="H157" s="50"/>
      <c r="I157"/>
      <c r="J157" s="50"/>
      <c r="K157"/>
      <c r="L157" s="50"/>
      <c r="M157"/>
      <c r="N157" s="50"/>
      <c r="O157"/>
      <c r="P157" s="50"/>
      <c r="Q157"/>
      <c r="R157" s="50"/>
      <c r="S157"/>
    </row>
    <row r="158" spans="2:19" ht="12.75">
      <c r="B158" s="8" t="s">
        <v>82</v>
      </c>
      <c r="C158" s="8"/>
      <c r="D158" s="8" t="s">
        <v>17</v>
      </c>
      <c r="F158" s="50"/>
      <c r="G158">
        <f>G152</f>
        <v>45926</v>
      </c>
      <c r="H158" s="50"/>
      <c r="I158">
        <f>I152</f>
        <v>48391</v>
      </c>
      <c r="J158" s="50"/>
      <c r="K158">
        <f>K152</f>
        <v>47527</v>
      </c>
      <c r="L158" s="50"/>
      <c r="M158"/>
      <c r="N158" s="50"/>
      <c r="O158"/>
      <c r="P158" s="50"/>
      <c r="Q158"/>
      <c r="R158" s="50"/>
      <c r="S158" s="63">
        <f>AVERAGE(G158,I158,K158,M158,O158,Q158)</f>
        <v>47281.333333333336</v>
      </c>
    </row>
    <row r="159" spans="2:19" ht="12.75">
      <c r="B159" s="8" t="s">
        <v>87</v>
      </c>
      <c r="C159" s="8"/>
      <c r="D159" s="8" t="s">
        <v>18</v>
      </c>
      <c r="F159" s="50"/>
      <c r="G159">
        <f>G153</f>
        <v>14.53</v>
      </c>
      <c r="H159" s="115"/>
      <c r="I159">
        <f>I153</f>
        <v>14.53</v>
      </c>
      <c r="J159" s="115"/>
      <c r="K159">
        <f>K153</f>
        <v>14.53</v>
      </c>
      <c r="L159" s="115"/>
      <c r="M159" s="71"/>
      <c r="N159" s="115"/>
      <c r="O159" s="71"/>
      <c r="P159" s="115"/>
      <c r="Q159" s="71"/>
      <c r="R159" s="115"/>
      <c r="S159" s="60">
        <f>AVERAGE(G159,I159,K159,M159,O159,Q159)</f>
        <v>14.53</v>
      </c>
    </row>
    <row r="160" spans="2:19" ht="12.75">
      <c r="B160" s="8" t="s">
        <v>88</v>
      </c>
      <c r="C160" s="8"/>
      <c r="D160" s="8" t="s">
        <v>18</v>
      </c>
      <c r="F160" s="50"/>
      <c r="G160">
        <f>G154</f>
        <v>28.1</v>
      </c>
      <c r="H160" s="50"/>
      <c r="I160">
        <f>I154</f>
        <v>25.8</v>
      </c>
      <c r="J160" s="50"/>
      <c r="K160">
        <f>K154</f>
        <v>26.3</v>
      </c>
      <c r="L160" s="50"/>
      <c r="M160"/>
      <c r="N160" s="50"/>
      <c r="O160"/>
      <c r="P160" s="50"/>
      <c r="Q160"/>
      <c r="R160" s="50"/>
      <c r="S160" s="60">
        <f>AVERAGE(G160,I160,K160,M160,O160,Q160)</f>
        <v>26.733333333333334</v>
      </c>
    </row>
    <row r="161" spans="2:19" ht="12.75">
      <c r="B161" s="8" t="s">
        <v>81</v>
      </c>
      <c r="C161" s="8"/>
      <c r="D161" s="8" t="s">
        <v>19</v>
      </c>
      <c r="F161" s="50"/>
      <c r="G161">
        <f>G155</f>
        <v>196</v>
      </c>
      <c r="H161" s="50"/>
      <c r="I161">
        <f>I155</f>
        <v>196</v>
      </c>
      <c r="J161" s="50"/>
      <c r="K161">
        <f>K155</f>
        <v>197</v>
      </c>
      <c r="L161" s="50"/>
      <c r="M161"/>
      <c r="N161" s="50"/>
      <c r="O161"/>
      <c r="P161" s="50"/>
      <c r="Q161"/>
      <c r="R161" s="50"/>
      <c r="S161" s="5">
        <f>AVERAGE(G161,I161,K161,M161,O161,Q161)</f>
        <v>196.33333333333334</v>
      </c>
    </row>
    <row r="162" spans="6:18" ht="12.75">
      <c r="F162" s="50"/>
      <c r="H162" s="50"/>
      <c r="J162" s="50"/>
      <c r="L162" s="50"/>
      <c r="N162" s="50"/>
      <c r="P162" s="50"/>
      <c r="R162" s="50"/>
    </row>
    <row r="163" spans="2:19" ht="12.75">
      <c r="B163" s="8" t="s">
        <v>89</v>
      </c>
      <c r="C163" s="8" t="s">
        <v>198</v>
      </c>
      <c r="D163" s="8" t="s">
        <v>423</v>
      </c>
      <c r="F163" s="50"/>
      <c r="G163"/>
      <c r="H163" s="50"/>
      <c r="I163"/>
      <c r="J163" s="50"/>
      <c r="K163"/>
      <c r="L163" s="50"/>
      <c r="M163"/>
      <c r="N163" s="50"/>
      <c r="O163"/>
      <c r="P163" s="50"/>
      <c r="Q163"/>
      <c r="R163" s="50"/>
      <c r="S163"/>
    </row>
    <row r="164" spans="2:19" ht="12.75">
      <c r="B164" s="8" t="s">
        <v>82</v>
      </c>
      <c r="C164" s="8"/>
      <c r="D164" s="8" t="s">
        <v>17</v>
      </c>
      <c r="F164" s="50"/>
      <c r="G164">
        <v>45381</v>
      </c>
      <c r="H164" s="50"/>
      <c r="I164">
        <v>44973</v>
      </c>
      <c r="J164" s="50"/>
      <c r="K164">
        <v>43895</v>
      </c>
      <c r="L164" s="50"/>
      <c r="M164"/>
      <c r="N164" s="50"/>
      <c r="O164"/>
      <c r="P164" s="50"/>
      <c r="Q164"/>
      <c r="R164" s="50"/>
      <c r="S164" s="63">
        <f>AVERAGE(K164,I164,G164)</f>
        <v>44749.666666666664</v>
      </c>
    </row>
    <row r="165" spans="2:19" ht="12.75">
      <c r="B165" s="8" t="s">
        <v>87</v>
      </c>
      <c r="C165" s="8"/>
      <c r="D165" s="8" t="s">
        <v>18</v>
      </c>
      <c r="F165" s="50"/>
      <c r="G165" s="5">
        <v>13.52</v>
      </c>
      <c r="H165" s="116"/>
      <c r="I165" s="5">
        <v>14.53</v>
      </c>
      <c r="J165" s="116"/>
      <c r="K165" s="5">
        <v>14.49</v>
      </c>
      <c r="L165" s="116"/>
      <c r="M165" s="5"/>
      <c r="N165" s="116"/>
      <c r="O165" s="5"/>
      <c r="P165" s="116"/>
      <c r="Q165" s="5"/>
      <c r="R165" s="116"/>
      <c r="S165" s="5">
        <f>AVERAGE(K165,I165,G165)</f>
        <v>14.18</v>
      </c>
    </row>
    <row r="166" spans="2:19" ht="12.75">
      <c r="B166" s="8" t="s">
        <v>88</v>
      </c>
      <c r="C166" s="8"/>
      <c r="D166" s="8" t="s">
        <v>18</v>
      </c>
      <c r="F166" s="50"/>
      <c r="G166">
        <v>32.8</v>
      </c>
      <c r="H166" s="50"/>
      <c r="I166">
        <v>27.6</v>
      </c>
      <c r="J166" s="50"/>
      <c r="K166">
        <v>27.5</v>
      </c>
      <c r="L166" s="50"/>
      <c r="M166"/>
      <c r="N166" s="50"/>
      <c r="O166"/>
      <c r="P166" s="50"/>
      <c r="Q166"/>
      <c r="R166" s="50"/>
      <c r="S166" s="5">
        <f>AVERAGE(K166,I166,G166)</f>
        <v>29.3</v>
      </c>
    </row>
    <row r="167" spans="2:19" ht="12.75">
      <c r="B167" s="8" t="s">
        <v>81</v>
      </c>
      <c r="C167" s="8"/>
      <c r="D167" s="8" t="s">
        <v>19</v>
      </c>
      <c r="F167" s="50"/>
      <c r="G167" s="63">
        <v>199</v>
      </c>
      <c r="H167" s="117"/>
      <c r="I167" s="63">
        <v>194</v>
      </c>
      <c r="J167" s="117"/>
      <c r="K167" s="63">
        <v>196</v>
      </c>
      <c r="L167" s="117"/>
      <c r="M167" s="63"/>
      <c r="N167" s="117"/>
      <c r="O167" s="63"/>
      <c r="P167" s="117"/>
      <c r="Q167" s="63"/>
      <c r="R167" s="117"/>
      <c r="S167" s="63">
        <f>AVERAGE(K167,I167,G167)</f>
        <v>196.33333333333334</v>
      </c>
    </row>
    <row r="168" spans="2:19" ht="12.75">
      <c r="B168" s="8"/>
      <c r="C168" s="8"/>
      <c r="F168" s="50"/>
      <c r="G168"/>
      <c r="H168" s="50"/>
      <c r="I168"/>
      <c r="J168" s="50"/>
      <c r="K168"/>
      <c r="L168" s="50"/>
      <c r="M168"/>
      <c r="N168" s="50"/>
      <c r="O168"/>
      <c r="P168" s="50"/>
      <c r="Q168"/>
      <c r="R168" s="50"/>
      <c r="S168" s="5"/>
    </row>
    <row r="169" spans="2:19" ht="12.75">
      <c r="B169" s="8" t="s">
        <v>89</v>
      </c>
      <c r="C169" s="8" t="s">
        <v>72</v>
      </c>
      <c r="E169" s="8" t="s">
        <v>424</v>
      </c>
      <c r="F169" s="50"/>
      <c r="G169"/>
      <c r="H169" s="50"/>
      <c r="I169"/>
      <c r="J169" s="50"/>
      <c r="K169"/>
      <c r="L169" s="50"/>
      <c r="M169"/>
      <c r="N169" s="50"/>
      <c r="O169"/>
      <c r="P169" s="50"/>
      <c r="Q169"/>
      <c r="R169" s="50"/>
      <c r="S169"/>
    </row>
    <row r="170" spans="2:19" ht="12.75">
      <c r="B170" s="8" t="s">
        <v>82</v>
      </c>
      <c r="C170" s="8"/>
      <c r="D170" s="8" t="s">
        <v>17</v>
      </c>
      <c r="F170" s="50"/>
      <c r="G170">
        <v>41502</v>
      </c>
      <c r="H170" s="50"/>
      <c r="I170">
        <v>43270</v>
      </c>
      <c r="J170" s="50"/>
      <c r="K170">
        <v>43222</v>
      </c>
      <c r="L170" s="50"/>
      <c r="M170">
        <v>49905</v>
      </c>
      <c r="N170" s="50"/>
      <c r="O170">
        <v>51051</v>
      </c>
      <c r="P170" s="50"/>
      <c r="Q170"/>
      <c r="R170" s="50"/>
      <c r="S170" s="63">
        <f>AVERAGE(G170,I170,K170,M170,O170)</f>
        <v>45790</v>
      </c>
    </row>
    <row r="171" spans="2:19" ht="12.75">
      <c r="B171" s="8" t="s">
        <v>87</v>
      </c>
      <c r="C171" s="8"/>
      <c r="D171" s="8" t="s">
        <v>18</v>
      </c>
      <c r="F171" s="50"/>
      <c r="G171" s="60">
        <v>13.52</v>
      </c>
      <c r="H171" s="112"/>
      <c r="I171" s="60">
        <v>14.53</v>
      </c>
      <c r="J171" s="112"/>
      <c r="K171" s="60">
        <v>14.49</v>
      </c>
      <c r="L171" s="112"/>
      <c r="M171" s="60">
        <v>14.5</v>
      </c>
      <c r="N171" s="112"/>
      <c r="O171" s="60">
        <v>14.66</v>
      </c>
      <c r="P171" s="112"/>
      <c r="Q171" s="60"/>
      <c r="R171" s="112"/>
      <c r="S171" s="60">
        <f>AVERAGE(G171,I171,K171,M171,O171)</f>
        <v>14.34</v>
      </c>
    </row>
    <row r="172" spans="2:19" ht="12.75">
      <c r="B172" s="8" t="s">
        <v>88</v>
      </c>
      <c r="C172" s="8"/>
      <c r="D172" s="8" t="s">
        <v>18</v>
      </c>
      <c r="F172" s="50"/>
      <c r="G172" s="71">
        <v>30.7</v>
      </c>
      <c r="H172" s="115"/>
      <c r="I172" s="71">
        <v>28.1</v>
      </c>
      <c r="J172" s="115"/>
      <c r="K172" s="71">
        <v>30.7</v>
      </c>
      <c r="L172" s="115"/>
      <c r="M172" s="71">
        <v>30.3</v>
      </c>
      <c r="N172" s="115"/>
      <c r="O172" s="71">
        <v>29.6</v>
      </c>
      <c r="P172" s="115"/>
      <c r="Q172" s="71"/>
      <c r="R172" s="115"/>
      <c r="S172" s="71">
        <f>AVERAGE(G172,I172,K172,M172,O172)</f>
        <v>29.880000000000003</v>
      </c>
    </row>
    <row r="173" spans="2:19" ht="12.75">
      <c r="B173" s="8" t="s">
        <v>81</v>
      </c>
      <c r="C173" s="8" t="s">
        <v>142</v>
      </c>
      <c r="D173" s="8" t="s">
        <v>19</v>
      </c>
      <c r="F173" s="50"/>
      <c r="G173"/>
      <c r="H173" s="50"/>
      <c r="I173"/>
      <c r="J173" s="50"/>
      <c r="K173"/>
      <c r="L173" s="50"/>
      <c r="M173"/>
      <c r="N173" s="50"/>
      <c r="O173"/>
      <c r="P173" s="50"/>
      <c r="Q173"/>
      <c r="R173" s="50"/>
      <c r="S173" s="5"/>
    </row>
    <row r="174" spans="2:19" ht="12.75">
      <c r="B174" s="8"/>
      <c r="C174" s="8"/>
      <c r="F174" s="50"/>
      <c r="G174"/>
      <c r="H174" s="50"/>
      <c r="I174"/>
      <c r="J174" s="50"/>
      <c r="K174"/>
      <c r="L174" s="50"/>
      <c r="M174"/>
      <c r="N174" s="50"/>
      <c r="O174"/>
      <c r="P174" s="50"/>
      <c r="Q174"/>
      <c r="R174" s="50"/>
      <c r="S174" s="5"/>
    </row>
    <row r="175" spans="2:19" ht="12.75">
      <c r="B175" s="8" t="s">
        <v>105</v>
      </c>
      <c r="C175" s="8" t="s">
        <v>423</v>
      </c>
      <c r="D175" s="8" t="s">
        <v>57</v>
      </c>
      <c r="E175" s="8" t="s">
        <v>15</v>
      </c>
      <c r="F175" s="50"/>
      <c r="G175" s="5">
        <f aca="true" t="shared" si="11" ref="G175:G181">G138*454000000/60/G$164/0.028317*(21-7)/(21-G$165)</f>
        <v>2.027811402882084</v>
      </c>
      <c r="H175" s="50"/>
      <c r="I175" s="5">
        <f aca="true" t="shared" si="12" ref="I175:I181">I138*454000000/60/I$164/0.028317*(21-7)/(21-I$165)</f>
        <v>0.8691124150084687</v>
      </c>
      <c r="J175" s="50"/>
      <c r="K175" s="5">
        <f aca="true" t="shared" si="13" ref="K175:K181">K138*454000000/60/K$164/0.028317*(21-7)/(21-K$165)</f>
        <v>0.7069409110380455</v>
      </c>
      <c r="L175" s="116"/>
      <c r="M175" s="5"/>
      <c r="N175" s="116"/>
      <c r="O175" s="5"/>
      <c r="P175" s="116"/>
      <c r="Q175" s="5"/>
      <c r="R175" s="50"/>
      <c r="S175" s="5">
        <f aca="true" t="shared" si="14" ref="S175:S181">AVERAGE(G175,I175,K175)</f>
        <v>1.2012882429761993</v>
      </c>
    </row>
    <row r="176" spans="2:19" ht="12.75">
      <c r="B176" s="8" t="s">
        <v>84</v>
      </c>
      <c r="C176" s="8" t="s">
        <v>423</v>
      </c>
      <c r="D176" s="8" t="s">
        <v>57</v>
      </c>
      <c r="E176" s="8" t="s">
        <v>15</v>
      </c>
      <c r="F176" s="50" t="s">
        <v>102</v>
      </c>
      <c r="G176" s="5">
        <f t="shared" si="11"/>
        <v>0.08122266325674433</v>
      </c>
      <c r="H176" s="50" t="s">
        <v>102</v>
      </c>
      <c r="I176" s="5">
        <f t="shared" si="12"/>
        <v>0.09989650095585505</v>
      </c>
      <c r="J176" s="50" t="s">
        <v>102</v>
      </c>
      <c r="K176" s="5">
        <f t="shared" si="13"/>
        <v>0.10093545229820983</v>
      </c>
      <c r="L176" s="116"/>
      <c r="M176" s="5"/>
      <c r="N176" s="116"/>
      <c r="O176" s="5"/>
      <c r="P176" s="116"/>
      <c r="Q176" s="5"/>
      <c r="R176" s="50">
        <v>100</v>
      </c>
      <c r="S176" s="5">
        <f t="shared" si="14"/>
        <v>0.09401820550360307</v>
      </c>
    </row>
    <row r="177" spans="2:19" ht="12.75">
      <c r="B177" s="8" t="s">
        <v>106</v>
      </c>
      <c r="C177" s="8" t="s">
        <v>423</v>
      </c>
      <c r="D177" s="8" t="s">
        <v>57</v>
      </c>
      <c r="E177" s="8" t="s">
        <v>15</v>
      </c>
      <c r="F177" s="50"/>
      <c r="G177" s="5">
        <f t="shared" si="11"/>
        <v>3.0086549618848313</v>
      </c>
      <c r="H177" s="50"/>
      <c r="I177" s="5">
        <f t="shared" si="12"/>
        <v>7.701158825296933</v>
      </c>
      <c r="J177" s="50"/>
      <c r="K177" s="5">
        <f t="shared" si="13"/>
        <v>4.64748191515752</v>
      </c>
      <c r="L177" s="116"/>
      <c r="M177" s="5"/>
      <c r="N177" s="116"/>
      <c r="O177" s="5"/>
      <c r="P177" s="116"/>
      <c r="Q177" s="5"/>
      <c r="R177" s="50"/>
      <c r="S177" s="5">
        <f t="shared" si="14"/>
        <v>5.119098567446429</v>
      </c>
    </row>
    <row r="178" spans="2:19" ht="12.75">
      <c r="B178" s="8" t="s">
        <v>145</v>
      </c>
      <c r="C178" s="8" t="s">
        <v>423</v>
      </c>
      <c r="D178" s="8" t="s">
        <v>57</v>
      </c>
      <c r="E178" s="8" t="s">
        <v>15</v>
      </c>
      <c r="F178" s="50"/>
      <c r="G178" s="5">
        <f t="shared" si="11"/>
        <v>5.113611363789603</v>
      </c>
      <c r="H178" s="50"/>
      <c r="I178" s="5">
        <f t="shared" si="12"/>
        <v>14.270928707979298</v>
      </c>
      <c r="J178" s="50"/>
      <c r="K178" s="5">
        <f t="shared" si="13"/>
        <v>7.370513572489251</v>
      </c>
      <c r="L178" s="116"/>
      <c r="M178" s="5"/>
      <c r="N178" s="116"/>
      <c r="O178" s="5"/>
      <c r="P178" s="116"/>
      <c r="Q178" s="5"/>
      <c r="R178" s="50"/>
      <c r="S178" s="5">
        <f t="shared" si="14"/>
        <v>8.918351214752716</v>
      </c>
    </row>
    <row r="179" spans="2:19" ht="12.75">
      <c r="B179" s="8" t="s">
        <v>83</v>
      </c>
      <c r="C179" s="8" t="s">
        <v>423</v>
      </c>
      <c r="D179" s="8" t="s">
        <v>57</v>
      </c>
      <c r="E179" s="8" t="s">
        <v>15</v>
      </c>
      <c r="F179" s="50"/>
      <c r="G179" s="5">
        <f t="shared" si="11"/>
        <v>6.700594200827756</v>
      </c>
      <c r="H179" s="50"/>
      <c r="I179" s="5">
        <f t="shared" si="12"/>
        <v>5.052680164176452</v>
      </c>
      <c r="J179" s="50"/>
      <c r="K179" s="5">
        <f t="shared" si="13"/>
        <v>6.310102205932183</v>
      </c>
      <c r="L179" s="116"/>
      <c r="M179" s="5"/>
      <c r="N179" s="116"/>
      <c r="O179" s="5"/>
      <c r="P179" s="116"/>
      <c r="Q179" s="5"/>
      <c r="R179" s="50"/>
      <c r="S179" s="5">
        <f t="shared" si="14"/>
        <v>6.0211255236454635</v>
      </c>
    </row>
    <row r="180" spans="2:19" ht="12.75">
      <c r="B180" s="8" t="s">
        <v>85</v>
      </c>
      <c r="C180" s="8" t="s">
        <v>423</v>
      </c>
      <c r="D180" s="8" t="s">
        <v>57</v>
      </c>
      <c r="E180" s="8" t="s">
        <v>15</v>
      </c>
      <c r="F180" s="50"/>
      <c r="G180" s="5">
        <f t="shared" si="11"/>
        <v>17.853556916679217</v>
      </c>
      <c r="H180" s="50"/>
      <c r="I180" s="5">
        <f t="shared" si="12"/>
        <v>20.827841898131936</v>
      </c>
      <c r="J180" s="50"/>
      <c r="K180" s="5">
        <f t="shared" si="13"/>
        <v>30.241361194405275</v>
      </c>
      <c r="L180" s="116"/>
      <c r="M180" s="5"/>
      <c r="N180" s="116"/>
      <c r="O180" s="5"/>
      <c r="P180" s="116"/>
      <c r="Q180" s="5"/>
      <c r="R180" s="50"/>
      <c r="S180" s="5">
        <f t="shared" si="14"/>
        <v>22.97425333640548</v>
      </c>
    </row>
    <row r="181" spans="2:19" ht="12.75">
      <c r="B181" s="8" t="s">
        <v>107</v>
      </c>
      <c r="C181" s="8" t="s">
        <v>423</v>
      </c>
      <c r="D181" s="8" t="s">
        <v>57</v>
      </c>
      <c r="E181" s="8" t="s">
        <v>15</v>
      </c>
      <c r="F181" s="50"/>
      <c r="G181" s="5">
        <f t="shared" si="11"/>
        <v>0.3162944959930206</v>
      </c>
      <c r="H181" s="50"/>
      <c r="I181" s="5">
        <f t="shared" si="12"/>
        <v>1.388522793208796</v>
      </c>
      <c r="J181" s="50"/>
      <c r="K181" s="5">
        <f t="shared" si="13"/>
        <v>14.531563171337606</v>
      </c>
      <c r="L181" s="116"/>
      <c r="M181" s="5"/>
      <c r="N181" s="116"/>
      <c r="O181" s="5"/>
      <c r="P181" s="116"/>
      <c r="Q181" s="5"/>
      <c r="R181" s="50"/>
      <c r="S181" s="5">
        <f t="shared" si="14"/>
        <v>5.412126820179807</v>
      </c>
    </row>
    <row r="182" spans="2:19" ht="12.75">
      <c r="B182" s="8"/>
      <c r="C182" s="8"/>
      <c r="F182" s="50"/>
      <c r="G182" s="67"/>
      <c r="H182" s="50"/>
      <c r="I182" s="67"/>
      <c r="J182" s="50"/>
      <c r="K182" s="67"/>
      <c r="L182" s="50"/>
      <c r="M182" s="67"/>
      <c r="N182" s="50"/>
      <c r="O182" s="67"/>
      <c r="P182" s="50"/>
      <c r="Q182" s="67"/>
      <c r="R182" s="50"/>
      <c r="S182" s="64"/>
    </row>
    <row r="183" spans="2:19" ht="12.75">
      <c r="B183" s="8" t="s">
        <v>58</v>
      </c>
      <c r="C183" s="8" t="s">
        <v>423</v>
      </c>
      <c r="D183" s="8" t="s">
        <v>57</v>
      </c>
      <c r="E183" s="8" t="s">
        <v>15</v>
      </c>
      <c r="F183" s="50"/>
      <c r="G183" s="5">
        <f>G179+G177</f>
        <v>9.709249162712588</v>
      </c>
      <c r="H183" s="116"/>
      <c r="I183" s="5">
        <f>I179+I177</f>
        <v>12.753838989473385</v>
      </c>
      <c r="J183" s="116"/>
      <c r="K183" s="5">
        <f>K179+K177</f>
        <v>10.957584121089702</v>
      </c>
      <c r="L183" s="116"/>
      <c r="M183" s="5"/>
      <c r="N183" s="116"/>
      <c r="O183" s="5"/>
      <c r="P183" s="116"/>
      <c r="Q183" s="5"/>
      <c r="R183" s="116"/>
      <c r="S183" s="5">
        <f>AVERAGE(G183,I183,K183)</f>
        <v>11.140224091091893</v>
      </c>
    </row>
    <row r="184" spans="2:19" ht="12.75">
      <c r="B184" s="8" t="s">
        <v>59</v>
      </c>
      <c r="C184" s="8" t="s">
        <v>423</v>
      </c>
      <c r="D184" s="8" t="s">
        <v>57</v>
      </c>
      <c r="E184" s="8" t="s">
        <v>15</v>
      </c>
      <c r="F184" s="50">
        <f>G176/G184*100</f>
        <v>1.1245555945496437</v>
      </c>
      <c r="G184" s="5">
        <f>G175+G176+G178</f>
        <v>7.222645429928431</v>
      </c>
      <c r="H184" s="50">
        <f>I176/I184*100</f>
        <v>0.6554915342888716</v>
      </c>
      <c r="I184" s="5">
        <f>I175+I176+I178</f>
        <v>15.239937623943622</v>
      </c>
      <c r="J184" s="50">
        <f>K176/K184*100</f>
        <v>1.2341726561124362</v>
      </c>
      <c r="K184" s="5">
        <f>K175+K176+K178</f>
        <v>8.178389935825507</v>
      </c>
      <c r="L184" s="116"/>
      <c r="M184" s="5"/>
      <c r="N184" s="116"/>
      <c r="O184" s="5"/>
      <c r="P184" s="116"/>
      <c r="Q184" s="5"/>
      <c r="R184" s="116">
        <f>(F184*G184+H184*I184+J184*K184)/(3*S184)</f>
        <v>0.9205145561325506</v>
      </c>
      <c r="S184" s="5">
        <f>AVERAGE(G184,I184,K184)</f>
        <v>10.21365766323252</v>
      </c>
    </row>
    <row r="187" spans="1:19" ht="12.75">
      <c r="A187" s="17">
        <v>13</v>
      </c>
      <c r="B187" s="21" t="s">
        <v>195</v>
      </c>
      <c r="C187" s="21" t="s">
        <v>196</v>
      </c>
      <c r="G187" s="19" t="s">
        <v>316</v>
      </c>
      <c r="I187" s="20" t="s">
        <v>317</v>
      </c>
      <c r="K187" s="19" t="s">
        <v>318</v>
      </c>
      <c r="M187" s="19" t="s">
        <v>319</v>
      </c>
      <c r="O187" s="19" t="s">
        <v>320</v>
      </c>
      <c r="Q187" s="19" t="s">
        <v>321</v>
      </c>
      <c r="S187" s="17" t="s">
        <v>47</v>
      </c>
    </row>
    <row r="188" spans="2:18" ht="12.75">
      <c r="B188" s="8"/>
      <c r="C188" s="8"/>
      <c r="D188" s="12"/>
      <c r="E188" s="12"/>
      <c r="F188" s="45"/>
      <c r="G188" s="12"/>
      <c r="H188" s="45"/>
      <c r="I188" s="22"/>
      <c r="J188" s="45"/>
      <c r="K188" s="12"/>
      <c r="L188" s="45"/>
      <c r="M188" s="12"/>
      <c r="N188" s="45"/>
      <c r="O188" s="12"/>
      <c r="P188" s="45"/>
      <c r="Q188" s="12"/>
      <c r="R188" s="45"/>
    </row>
    <row r="189" spans="2:19" ht="12.75">
      <c r="B189" s="8" t="s">
        <v>108</v>
      </c>
      <c r="C189" s="8" t="s">
        <v>118</v>
      </c>
      <c r="D189" s="12" t="s">
        <v>16</v>
      </c>
      <c r="E189" s="12"/>
      <c r="F189" s="50"/>
      <c r="G189"/>
      <c r="H189" s="50"/>
      <c r="I189"/>
      <c r="J189" s="50"/>
      <c r="K189"/>
      <c r="L189" s="50"/>
      <c r="M189"/>
      <c r="N189" s="50"/>
      <c r="O189"/>
      <c r="P189" s="50"/>
      <c r="Q189"/>
      <c r="R189" s="50"/>
      <c r="S189" s="56"/>
    </row>
    <row r="190" spans="2:19" ht="12.75">
      <c r="B190" s="8" t="s">
        <v>110</v>
      </c>
      <c r="C190" s="8" t="s">
        <v>118</v>
      </c>
      <c r="D190" s="12" t="s">
        <v>16</v>
      </c>
      <c r="E190" s="12"/>
      <c r="F190" s="50"/>
      <c r="G190"/>
      <c r="H190" s="50"/>
      <c r="I190"/>
      <c r="J190" s="50"/>
      <c r="K190"/>
      <c r="L190" s="50"/>
      <c r="M190"/>
      <c r="N190" s="50"/>
      <c r="O190"/>
      <c r="P190" s="50"/>
      <c r="Q190"/>
      <c r="R190" s="50"/>
      <c r="S190" s="56"/>
    </row>
    <row r="191" spans="2:18" ht="12.75">
      <c r="B191" s="8"/>
      <c r="C191" s="8"/>
      <c r="D191" s="12"/>
      <c r="E191" s="12"/>
      <c r="F191" s="50"/>
      <c r="G191"/>
      <c r="H191" s="50"/>
      <c r="I191"/>
      <c r="J191" s="50"/>
      <c r="K191"/>
      <c r="L191" s="50"/>
      <c r="M191"/>
      <c r="N191" s="50"/>
      <c r="O191"/>
      <c r="P191" s="50"/>
      <c r="Q191"/>
      <c r="R191" s="50"/>
    </row>
    <row r="192" spans="2:19" ht="12.75">
      <c r="B192" s="8" t="s">
        <v>13</v>
      </c>
      <c r="C192" s="8" t="s">
        <v>421</v>
      </c>
      <c r="D192" s="8" t="s">
        <v>14</v>
      </c>
      <c r="E192" s="8" t="s">
        <v>15</v>
      </c>
      <c r="F192" s="50"/>
      <c r="G192" s="69">
        <v>0.0137</v>
      </c>
      <c r="H192" s="110"/>
      <c r="I192" s="69">
        <v>0.0101</v>
      </c>
      <c r="J192" s="110"/>
      <c r="K192" s="69">
        <v>0.0094</v>
      </c>
      <c r="L192" s="110"/>
      <c r="M192" s="69">
        <v>0.0086</v>
      </c>
      <c r="N192" s="110"/>
      <c r="O192" s="69">
        <v>0.0118</v>
      </c>
      <c r="P192" s="110"/>
      <c r="Q192" s="69"/>
      <c r="R192" s="110"/>
      <c r="S192" s="69">
        <f>AVERAGE(K192,I192,G192,M192,O192)</f>
        <v>0.01072</v>
      </c>
    </row>
    <row r="193" spans="2:19" ht="12.75">
      <c r="B193" s="8"/>
      <c r="C193" s="8"/>
      <c r="F193" s="50"/>
      <c r="G193"/>
      <c r="H193" s="50"/>
      <c r="I193"/>
      <c r="J193" s="50"/>
      <c r="K193"/>
      <c r="L193" s="50"/>
      <c r="M193"/>
      <c r="N193" s="50"/>
      <c r="O193"/>
      <c r="P193" s="50"/>
      <c r="Q193"/>
      <c r="R193" s="50"/>
      <c r="S193" s="54"/>
    </row>
    <row r="194" spans="2:19" ht="12.75">
      <c r="B194" s="8" t="s">
        <v>50</v>
      </c>
      <c r="C194" s="8"/>
      <c r="D194" s="8" t="s">
        <v>53</v>
      </c>
      <c r="F194" s="50"/>
      <c r="G194" s="54">
        <v>0.0367</v>
      </c>
      <c r="H194" s="111"/>
      <c r="I194" s="54">
        <v>0.048</v>
      </c>
      <c r="J194" s="111"/>
      <c r="K194" s="54">
        <v>0.0313</v>
      </c>
      <c r="L194" s="111"/>
      <c r="M194" s="54"/>
      <c r="N194" s="111"/>
      <c r="O194" s="54"/>
      <c r="P194" s="111"/>
      <c r="Q194" s="54"/>
      <c r="R194" s="111"/>
      <c r="S194" s="54">
        <f>AVERAGE(K194,I194,G194)</f>
        <v>0.038666666666666676</v>
      </c>
    </row>
    <row r="195" spans="2:19" ht="12.75">
      <c r="B195" s="8" t="s">
        <v>51</v>
      </c>
      <c r="C195" s="8" t="s">
        <v>142</v>
      </c>
      <c r="D195" s="8" t="s">
        <v>53</v>
      </c>
      <c r="F195" s="50"/>
      <c r="G195" s="69"/>
      <c r="H195" s="110"/>
      <c r="I195" s="69"/>
      <c r="J195" s="110"/>
      <c r="K195" s="69"/>
      <c r="L195" s="110"/>
      <c r="M195" s="69"/>
      <c r="N195" s="110"/>
      <c r="O195" s="69"/>
      <c r="P195" s="110"/>
      <c r="Q195" s="69"/>
      <c r="R195" s="110"/>
      <c r="S195" s="69"/>
    </row>
    <row r="196" spans="2:19" ht="12.75">
      <c r="B196" s="8"/>
      <c r="C196" s="8"/>
      <c r="F196" s="50"/>
      <c r="G196"/>
      <c r="H196" s="50"/>
      <c r="I196"/>
      <c r="J196" s="50"/>
      <c r="K196"/>
      <c r="L196" s="50"/>
      <c r="M196"/>
      <c r="N196" s="50"/>
      <c r="O196"/>
      <c r="P196" s="50"/>
      <c r="Q196"/>
      <c r="R196" s="50"/>
      <c r="S196" s="54"/>
    </row>
    <row r="197" spans="2:19" ht="12.75">
      <c r="B197" s="8" t="s">
        <v>50</v>
      </c>
      <c r="C197" s="8" t="s">
        <v>422</v>
      </c>
      <c r="D197" s="8" t="s">
        <v>16</v>
      </c>
      <c r="E197" s="8" t="s">
        <v>15</v>
      </c>
      <c r="F197" s="50"/>
      <c r="G197" s="60">
        <f>G194/36.5*386.7/60/G$221*1000000*(21-7)/(21-G$222)</f>
        <v>0.3534798105472441</v>
      </c>
      <c r="H197" s="112"/>
      <c r="I197" s="60">
        <f>I194/36.5*386.7/60/I$221*1000000*(21-7)/(21-I$222)</f>
        <v>0.43845091992981716</v>
      </c>
      <c r="J197" s="112"/>
      <c r="K197" s="60">
        <f>K194/36.5*386.7/60/K$221*1000000*(21-7)/(21-K$222)</f>
        <v>0.3023622457617413</v>
      </c>
      <c r="L197" s="112"/>
      <c r="M197" s="60"/>
      <c r="N197" s="112"/>
      <c r="O197" s="60"/>
      <c r="P197" s="112"/>
      <c r="Q197" s="60"/>
      <c r="R197" s="117">
        <v>100</v>
      </c>
      <c r="S197" s="60">
        <f>AVERAGE(K197,I197,G197,M197,O197)</f>
        <v>0.3647643254129342</v>
      </c>
    </row>
    <row r="198" spans="2:19" ht="12.75">
      <c r="B198" s="8"/>
      <c r="C198" s="8"/>
      <c r="F198" s="50"/>
      <c r="G198" s="60"/>
      <c r="H198" s="112"/>
      <c r="I198" s="60"/>
      <c r="J198" s="112"/>
      <c r="K198" s="60"/>
      <c r="L198" s="112"/>
      <c r="M198" s="60"/>
      <c r="N198" s="112"/>
      <c r="O198" s="60"/>
      <c r="P198" s="112"/>
      <c r="Q198" s="60"/>
      <c r="R198" s="112"/>
      <c r="S198" s="60"/>
    </row>
    <row r="199" spans="2:19" ht="12.75">
      <c r="B199" s="8"/>
      <c r="C199" s="8"/>
      <c r="F199" s="50"/>
      <c r="G199" s="60"/>
      <c r="H199" s="112"/>
      <c r="I199" s="60"/>
      <c r="J199" s="112"/>
      <c r="K199" s="60"/>
      <c r="L199" s="112"/>
      <c r="M199" s="60"/>
      <c r="N199" s="112"/>
      <c r="O199" s="60"/>
      <c r="P199" s="112"/>
      <c r="Q199" s="60"/>
      <c r="R199" s="112"/>
      <c r="S199" s="60"/>
    </row>
    <row r="200" spans="2:19" ht="12.75">
      <c r="B200" s="8"/>
      <c r="C200" s="8"/>
      <c r="F200" s="50"/>
      <c r="G200"/>
      <c r="H200" s="50"/>
      <c r="I200"/>
      <c r="J200" s="50"/>
      <c r="K200"/>
      <c r="L200" s="50"/>
      <c r="M200"/>
      <c r="N200" s="50"/>
      <c r="O200"/>
      <c r="P200" s="50"/>
      <c r="Q200"/>
      <c r="R200" s="50"/>
      <c r="S200" s="5"/>
    </row>
    <row r="201" spans="2:19" ht="12.75">
      <c r="B201" s="8" t="s">
        <v>111</v>
      </c>
      <c r="C201" s="8" t="s">
        <v>176</v>
      </c>
      <c r="G201" s="23"/>
      <c r="I201" s="24"/>
      <c r="K201" s="23"/>
      <c r="M201" s="23"/>
      <c r="O201" s="23"/>
      <c r="Q201" s="23"/>
      <c r="S201" s="55"/>
    </row>
    <row r="202" spans="2:19" ht="12.75">
      <c r="B202" s="8" t="s">
        <v>112</v>
      </c>
      <c r="C202" s="8"/>
      <c r="D202" s="8" t="s">
        <v>53</v>
      </c>
      <c r="G202" s="70">
        <f>AVERAGE(1327,1327,1327)</f>
        <v>1327</v>
      </c>
      <c r="H202" s="113"/>
      <c r="I202" s="70">
        <f>AVERAGE(1146,1146,1146)</f>
        <v>1146</v>
      </c>
      <c r="J202" s="113"/>
      <c r="K202" s="70">
        <f>AVERAGE(875,875,875)</f>
        <v>875</v>
      </c>
      <c r="L202" s="113"/>
      <c r="M202" s="70">
        <f>AVERAGE(815,815,815)</f>
        <v>815</v>
      </c>
      <c r="N202" s="113"/>
      <c r="O202" s="70"/>
      <c r="P202" s="113"/>
      <c r="Q202" s="70"/>
      <c r="S202" s="55">
        <f>AVERAGE(G202,I202,K202)</f>
        <v>1116</v>
      </c>
    </row>
    <row r="203" spans="2:19" ht="12.75">
      <c r="B203" s="8" t="s">
        <v>113</v>
      </c>
      <c r="C203" s="8" t="s">
        <v>424</v>
      </c>
      <c r="D203" s="8" t="s">
        <v>53</v>
      </c>
      <c r="G203" s="57">
        <f>AVERAGE(0.0000918,0.000101,0.0000879)</f>
        <v>9.356666666666666E-05</v>
      </c>
      <c r="H203" s="19" t="s">
        <v>177</v>
      </c>
      <c r="I203" s="57">
        <f>AVERAGE(0.0000879,0.0000903,0.0000896)</f>
        <v>8.926666666666666E-05</v>
      </c>
      <c r="J203" s="19" t="s">
        <v>177</v>
      </c>
      <c r="K203" s="57">
        <f>AVERAGE(0.0000878,0.0000861,0.0000878)</f>
        <v>8.723333333333334E-05</v>
      </c>
      <c r="M203" s="57">
        <f>AVERAGE(0.0000834,0.0000846,0.000106)</f>
        <v>9.133333333333334E-05</v>
      </c>
      <c r="O203" s="57"/>
      <c r="Q203" s="57"/>
      <c r="S203" s="25">
        <f>AVERAGE(G203,I203,K203)</f>
        <v>9.002222222222222E-05</v>
      </c>
    </row>
    <row r="204" spans="2:19" ht="12.75">
      <c r="B204" s="8" t="s">
        <v>52</v>
      </c>
      <c r="C204" s="8" t="s">
        <v>424</v>
      </c>
      <c r="D204" s="8" t="s">
        <v>18</v>
      </c>
      <c r="G204" s="74">
        <f>(G202-G203)/G202*100</f>
        <v>99.99999294900779</v>
      </c>
      <c r="H204" s="114" t="s">
        <v>177</v>
      </c>
      <c r="I204" s="74">
        <f>(I202-I203)/I202*100</f>
        <v>99.99999221058755</v>
      </c>
      <c r="J204" s="114" t="s">
        <v>177</v>
      </c>
      <c r="K204" s="74">
        <f>(K202-K203)/K202*100</f>
        <v>99.99999003047618</v>
      </c>
      <c r="L204" s="114"/>
      <c r="M204" s="74">
        <f>(M202-M203)/M202*100</f>
        <v>99.99998879345603</v>
      </c>
      <c r="N204" s="114"/>
      <c r="O204" s="62"/>
      <c r="P204" s="114"/>
      <c r="Q204" s="62"/>
      <c r="S204" s="74">
        <f>(S202-S203)/S202*100</f>
        <v>99.99999193349264</v>
      </c>
    </row>
    <row r="205" spans="2:19" ht="12.75">
      <c r="B205" s="8"/>
      <c r="C205" s="8"/>
      <c r="F205" s="50"/>
      <c r="G205"/>
      <c r="H205" s="50"/>
      <c r="I205"/>
      <c r="J205" s="50"/>
      <c r="K205"/>
      <c r="L205" s="50"/>
      <c r="M205"/>
      <c r="N205" s="50"/>
      <c r="O205"/>
      <c r="P205" s="50"/>
      <c r="Q205"/>
      <c r="R205" s="50"/>
      <c r="S205" s="5"/>
    </row>
    <row r="206" spans="2:19" ht="12.75">
      <c r="B206" s="8" t="s">
        <v>105</v>
      </c>
      <c r="C206" s="8"/>
      <c r="D206" s="8" t="s">
        <v>53</v>
      </c>
      <c r="F206" s="50"/>
      <c r="G206" s="64">
        <v>0.000336</v>
      </c>
      <c r="H206" s="50"/>
      <c r="I206" s="64">
        <v>0.000423</v>
      </c>
      <c r="J206" s="118"/>
      <c r="K206" s="64">
        <v>0.000642</v>
      </c>
      <c r="L206" s="50"/>
      <c r="M206" s="64"/>
      <c r="N206" s="50"/>
      <c r="O206" s="64"/>
      <c r="P206" s="50"/>
      <c r="Q206" s="64"/>
      <c r="R206" s="50"/>
      <c r="S206" s="64">
        <f aca="true" t="shared" si="15" ref="S206:S212">AVERAGE(G206,I206,K206)</f>
        <v>0.00046699999999999997</v>
      </c>
    </row>
    <row r="207" spans="2:19" ht="12.75">
      <c r="B207" s="8" t="s">
        <v>84</v>
      </c>
      <c r="C207" s="8"/>
      <c r="D207" s="8" t="s">
        <v>53</v>
      </c>
      <c r="F207" s="50" t="s">
        <v>102</v>
      </c>
      <c r="G207" s="64">
        <v>7.63E-06</v>
      </c>
      <c r="H207" s="50" t="s">
        <v>102</v>
      </c>
      <c r="I207" s="64">
        <v>7.43E-06</v>
      </c>
      <c r="J207" s="50" t="s">
        <v>102</v>
      </c>
      <c r="K207" s="64">
        <v>7.38E-06</v>
      </c>
      <c r="L207" s="50"/>
      <c r="M207" s="64"/>
      <c r="N207" s="50"/>
      <c r="O207" s="64"/>
      <c r="P207" s="50"/>
      <c r="Q207" s="64"/>
      <c r="R207" s="50" t="s">
        <v>102</v>
      </c>
      <c r="S207" s="64">
        <f t="shared" si="15"/>
        <v>7.4799999999999995E-06</v>
      </c>
    </row>
    <row r="208" spans="2:19" ht="12.75">
      <c r="B208" s="8" t="s">
        <v>106</v>
      </c>
      <c r="C208" s="8"/>
      <c r="D208" s="8" t="s">
        <v>53</v>
      </c>
      <c r="F208" s="50"/>
      <c r="G208" s="64">
        <v>0.000443</v>
      </c>
      <c r="H208" s="50"/>
      <c r="I208" s="64">
        <v>0.000743</v>
      </c>
      <c r="J208" s="50"/>
      <c r="K208" s="64">
        <v>0.000398</v>
      </c>
      <c r="L208" s="50"/>
      <c r="M208" s="64"/>
      <c r="N208" s="50"/>
      <c r="O208" s="64"/>
      <c r="P208" s="50"/>
      <c r="Q208" s="64"/>
      <c r="R208" s="50"/>
      <c r="S208" s="64">
        <f t="shared" si="15"/>
        <v>0.0005279999999999999</v>
      </c>
    </row>
    <row r="209" spans="2:19" ht="12.75">
      <c r="B209" s="8" t="s">
        <v>145</v>
      </c>
      <c r="C209" s="8"/>
      <c r="D209" s="8" t="s">
        <v>53</v>
      </c>
      <c r="F209" s="50"/>
      <c r="G209" s="64">
        <v>0.000343</v>
      </c>
      <c r="H209" s="50"/>
      <c r="I209" s="64">
        <v>0.000988</v>
      </c>
      <c r="J209" s="50"/>
      <c r="K209" s="64">
        <v>0.00562</v>
      </c>
      <c r="L209" s="50"/>
      <c r="M209" s="64"/>
      <c r="N209" s="50"/>
      <c r="O209" s="64"/>
      <c r="P209" s="50"/>
      <c r="Q209" s="64"/>
      <c r="R209" s="50"/>
      <c r="S209" s="64">
        <f t="shared" si="15"/>
        <v>0.002317</v>
      </c>
    </row>
    <row r="210" spans="2:19" ht="12.75">
      <c r="B210" s="8" t="s">
        <v>83</v>
      </c>
      <c r="C210" s="8"/>
      <c r="D210" s="8" t="s">
        <v>53</v>
      </c>
      <c r="F210" s="50"/>
      <c r="G210" s="64">
        <v>0.0198</v>
      </c>
      <c r="H210" s="50"/>
      <c r="I210" s="64">
        <v>0.0156</v>
      </c>
      <c r="J210" s="50"/>
      <c r="K210" s="64">
        <v>0.00372</v>
      </c>
      <c r="L210" s="50"/>
      <c r="M210" s="64"/>
      <c r="N210" s="50"/>
      <c r="O210" s="64"/>
      <c r="P210" s="50"/>
      <c r="Q210" s="64"/>
      <c r="R210" s="50"/>
      <c r="S210" s="64">
        <f t="shared" si="15"/>
        <v>0.013040000000000001</v>
      </c>
    </row>
    <row r="211" spans="2:19" ht="12.75">
      <c r="B211" s="8" t="s">
        <v>85</v>
      </c>
      <c r="C211" s="8"/>
      <c r="D211" s="8" t="s">
        <v>53</v>
      </c>
      <c r="F211" s="50"/>
      <c r="G211" s="64">
        <v>0.00322</v>
      </c>
      <c r="H211" s="50"/>
      <c r="I211" s="64">
        <v>0.00593</v>
      </c>
      <c r="J211" s="50"/>
      <c r="K211" s="64">
        <v>0.00377</v>
      </c>
      <c r="L211" s="50"/>
      <c r="M211" s="64"/>
      <c r="N211" s="50"/>
      <c r="O211" s="64"/>
      <c r="P211" s="50"/>
      <c r="Q211" s="64"/>
      <c r="R211" s="50"/>
      <c r="S211" s="64">
        <f t="shared" si="15"/>
        <v>0.004306666666666667</v>
      </c>
    </row>
    <row r="212" spans="2:19" ht="12.75">
      <c r="B212" s="8" t="s">
        <v>107</v>
      </c>
      <c r="C212" s="8"/>
      <c r="D212" s="8" t="s">
        <v>53</v>
      </c>
      <c r="F212" s="50"/>
      <c r="G212" s="64">
        <v>0.000328</v>
      </c>
      <c r="H212" s="50"/>
      <c r="I212" s="64">
        <v>0.000312</v>
      </c>
      <c r="J212" s="50"/>
      <c r="K212" s="64">
        <v>0.000487</v>
      </c>
      <c r="L212" s="50"/>
      <c r="M212" s="64"/>
      <c r="N212" s="50"/>
      <c r="O212" s="64"/>
      <c r="P212" s="50"/>
      <c r="Q212" s="64"/>
      <c r="R212" s="50"/>
      <c r="S212" s="64">
        <f t="shared" si="15"/>
        <v>0.00037566666666666667</v>
      </c>
    </row>
    <row r="213" spans="2:19" ht="12.75">
      <c r="B213" s="8"/>
      <c r="C213" s="8"/>
      <c r="G213" s="62"/>
      <c r="H213" s="114"/>
      <c r="I213" s="62"/>
      <c r="J213" s="114"/>
      <c r="K213" s="62"/>
      <c r="L213" s="114"/>
      <c r="M213" s="62"/>
      <c r="N213" s="114"/>
      <c r="O213" s="62"/>
      <c r="P213" s="114"/>
      <c r="Q213" s="62"/>
      <c r="S213" s="23"/>
    </row>
    <row r="214" spans="2:19" ht="12.75">
      <c r="B214" s="8" t="s">
        <v>89</v>
      </c>
      <c r="C214" s="8" t="s">
        <v>13</v>
      </c>
      <c r="D214" s="8" t="s">
        <v>421</v>
      </c>
      <c r="F214" s="50"/>
      <c r="G214"/>
      <c r="H214" s="50"/>
      <c r="I214"/>
      <c r="J214" s="50"/>
      <c r="K214"/>
      <c r="L214" s="50"/>
      <c r="M214"/>
      <c r="N214" s="50"/>
      <c r="O214"/>
      <c r="P214" s="50"/>
      <c r="Q214"/>
      <c r="R214" s="50"/>
      <c r="S214"/>
    </row>
    <row r="215" spans="2:19" ht="12.75">
      <c r="B215" s="8" t="s">
        <v>82</v>
      </c>
      <c r="C215" s="8"/>
      <c r="D215" s="8" t="s">
        <v>17</v>
      </c>
      <c r="F215" s="50"/>
      <c r="G215">
        <v>53471</v>
      </c>
      <c r="H215" s="50"/>
      <c r="I215">
        <v>53065</v>
      </c>
      <c r="J215" s="50"/>
      <c r="K215">
        <v>50177</v>
      </c>
      <c r="L215" s="50"/>
      <c r="M215">
        <v>54880</v>
      </c>
      <c r="N215" s="50"/>
      <c r="O215">
        <v>53678</v>
      </c>
      <c r="P215" s="50"/>
      <c r="Q215"/>
      <c r="R215" s="50"/>
      <c r="S215" s="63">
        <f>AVERAGE(G215,I215,K215,M215,O215,Q215)</f>
        <v>53054.2</v>
      </c>
    </row>
    <row r="216" spans="2:19" ht="12.75">
      <c r="B216" s="8" t="s">
        <v>87</v>
      </c>
      <c r="C216" s="8"/>
      <c r="D216" s="8" t="s">
        <v>18</v>
      </c>
      <c r="F216" s="50"/>
      <c r="G216" s="71">
        <v>16.2</v>
      </c>
      <c r="H216" s="115"/>
      <c r="I216" s="71">
        <v>15.9</v>
      </c>
      <c r="J216" s="115"/>
      <c r="K216" s="71">
        <v>15.9</v>
      </c>
      <c r="L216" s="115"/>
      <c r="M216" s="71">
        <v>15.9</v>
      </c>
      <c r="N216" s="115"/>
      <c r="O216" s="71">
        <v>15.9</v>
      </c>
      <c r="P216" s="115"/>
      <c r="Q216" s="71"/>
      <c r="R216" s="115"/>
      <c r="S216" s="60">
        <f>AVERAGE(G216,I216,K216,M216,O216,Q216)</f>
        <v>15.959999999999999</v>
      </c>
    </row>
    <row r="217" spans="2:19" ht="12.75">
      <c r="B217" s="8" t="s">
        <v>88</v>
      </c>
      <c r="C217" s="8"/>
      <c r="D217" s="8" t="s">
        <v>18</v>
      </c>
      <c r="F217" s="50"/>
      <c r="G217">
        <v>27.1</v>
      </c>
      <c r="H217" s="50"/>
      <c r="I217">
        <v>27.6</v>
      </c>
      <c r="J217" s="50"/>
      <c r="K217">
        <v>27.9</v>
      </c>
      <c r="L217" s="50"/>
      <c r="M217">
        <v>27.9</v>
      </c>
      <c r="N217" s="50"/>
      <c r="O217">
        <v>28.3</v>
      </c>
      <c r="P217" s="50"/>
      <c r="Q217"/>
      <c r="R217" s="50"/>
      <c r="S217" s="60">
        <f>AVERAGE(G217,I217,K217,M217,O217,Q217)</f>
        <v>27.76</v>
      </c>
    </row>
    <row r="218" spans="2:19" ht="12.75">
      <c r="B218" s="8" t="s">
        <v>81</v>
      </c>
      <c r="C218" s="8"/>
      <c r="D218" s="8" t="s">
        <v>19</v>
      </c>
      <c r="F218" s="50"/>
      <c r="G218">
        <v>190</v>
      </c>
      <c r="H218" s="50"/>
      <c r="I218">
        <v>199</v>
      </c>
      <c r="J218" s="50"/>
      <c r="K218">
        <v>199</v>
      </c>
      <c r="L218" s="50"/>
      <c r="M218">
        <v>197</v>
      </c>
      <c r="N218" s="50"/>
      <c r="O218">
        <v>199</v>
      </c>
      <c r="P218" s="50"/>
      <c r="Q218"/>
      <c r="R218" s="50"/>
      <c r="S218" s="5">
        <f>AVERAGE(G218,I218,K218,M218,O218,Q218)</f>
        <v>196.8</v>
      </c>
    </row>
    <row r="219" spans="2:19" ht="12.75">
      <c r="B219" s="8"/>
      <c r="C219" s="8"/>
      <c r="F219" s="50"/>
      <c r="G219"/>
      <c r="H219" s="50"/>
      <c r="I219"/>
      <c r="J219" s="50"/>
      <c r="K219"/>
      <c r="L219" s="50"/>
      <c r="M219"/>
      <c r="N219" s="50"/>
      <c r="O219"/>
      <c r="P219" s="50"/>
      <c r="Q219"/>
      <c r="R219" s="50"/>
      <c r="S219"/>
    </row>
    <row r="220" spans="2:19" ht="12.75">
      <c r="B220" s="8" t="s">
        <v>89</v>
      </c>
      <c r="C220" s="8" t="s">
        <v>50</v>
      </c>
      <c r="D220" s="8" t="s">
        <v>422</v>
      </c>
      <c r="F220" s="50"/>
      <c r="G220"/>
      <c r="H220" s="50"/>
      <c r="I220"/>
      <c r="J220" s="50"/>
      <c r="K220"/>
      <c r="L220" s="50"/>
      <c r="M220"/>
      <c r="N220" s="50"/>
      <c r="O220"/>
      <c r="P220" s="50"/>
      <c r="Q220"/>
      <c r="R220" s="50"/>
      <c r="S220"/>
    </row>
    <row r="221" spans="2:19" ht="12.75">
      <c r="B221" s="8" t="s">
        <v>82</v>
      </c>
      <c r="C221" s="8"/>
      <c r="D221" s="8" t="s">
        <v>17</v>
      </c>
      <c r="F221" s="50"/>
      <c r="G221">
        <f>G215</f>
        <v>53471</v>
      </c>
      <c r="H221" s="50"/>
      <c r="I221">
        <f>I215</f>
        <v>53065</v>
      </c>
      <c r="J221" s="50"/>
      <c r="K221">
        <f>K215</f>
        <v>50177</v>
      </c>
      <c r="L221" s="50"/>
      <c r="M221"/>
      <c r="N221" s="50"/>
      <c r="O221"/>
      <c r="P221" s="50"/>
      <c r="Q221"/>
      <c r="R221" s="50"/>
      <c r="S221" s="63">
        <f>AVERAGE(G221,I221,K221,M221,O221,Q221)</f>
        <v>52237.666666666664</v>
      </c>
    </row>
    <row r="222" spans="2:19" ht="12.75">
      <c r="B222" s="8" t="s">
        <v>87</v>
      </c>
      <c r="C222" s="8"/>
      <c r="D222" s="8" t="s">
        <v>18</v>
      </c>
      <c r="F222" s="50"/>
      <c r="G222">
        <f>G216</f>
        <v>16.2</v>
      </c>
      <c r="H222" s="115"/>
      <c r="I222">
        <f>I216</f>
        <v>15.9</v>
      </c>
      <c r="J222" s="115"/>
      <c r="K222">
        <f>K216</f>
        <v>15.9</v>
      </c>
      <c r="L222" s="115"/>
      <c r="M222" s="71"/>
      <c r="N222" s="115"/>
      <c r="O222" s="71"/>
      <c r="P222" s="115"/>
      <c r="Q222" s="71"/>
      <c r="R222" s="115"/>
      <c r="S222" s="60">
        <f>AVERAGE(G222,I222,K222,M222,O222,Q222)</f>
        <v>16</v>
      </c>
    </row>
    <row r="223" spans="2:19" ht="12.75">
      <c r="B223" s="8" t="s">
        <v>88</v>
      </c>
      <c r="C223" s="8"/>
      <c r="D223" s="8" t="s">
        <v>18</v>
      </c>
      <c r="F223" s="50"/>
      <c r="G223">
        <f>G217</f>
        <v>27.1</v>
      </c>
      <c r="H223" s="50"/>
      <c r="I223">
        <f>I217</f>
        <v>27.6</v>
      </c>
      <c r="J223" s="50"/>
      <c r="K223">
        <f>K217</f>
        <v>27.9</v>
      </c>
      <c r="L223" s="50"/>
      <c r="M223"/>
      <c r="N223" s="50"/>
      <c r="O223"/>
      <c r="P223" s="50"/>
      <c r="Q223"/>
      <c r="R223" s="50"/>
      <c r="S223" s="60">
        <f>AVERAGE(G223,I223,K223,M223,O223,Q223)</f>
        <v>27.53333333333333</v>
      </c>
    </row>
    <row r="224" spans="2:19" ht="12.75">
      <c r="B224" s="8" t="s">
        <v>81</v>
      </c>
      <c r="C224" s="8"/>
      <c r="D224" s="8" t="s">
        <v>19</v>
      </c>
      <c r="F224" s="50"/>
      <c r="G224">
        <f>G218</f>
        <v>190</v>
      </c>
      <c r="H224" s="50"/>
      <c r="I224">
        <f>I218</f>
        <v>199</v>
      </c>
      <c r="J224" s="50"/>
      <c r="K224">
        <f>K218</f>
        <v>199</v>
      </c>
      <c r="L224" s="50"/>
      <c r="M224"/>
      <c r="N224" s="50"/>
      <c r="O224"/>
      <c r="P224" s="50"/>
      <c r="Q224"/>
      <c r="R224" s="50"/>
      <c r="S224" s="5">
        <f>AVERAGE(G224,I224,K224,M224,O224,Q224)</f>
        <v>196</v>
      </c>
    </row>
    <row r="225" spans="6:18" ht="12.75">
      <c r="F225" s="50"/>
      <c r="H225" s="50"/>
      <c r="J225" s="50"/>
      <c r="L225" s="50"/>
      <c r="N225" s="50"/>
      <c r="P225" s="50"/>
      <c r="R225" s="50"/>
    </row>
    <row r="226" spans="2:19" ht="12.75">
      <c r="B226" s="8" t="s">
        <v>89</v>
      </c>
      <c r="C226" s="8" t="s">
        <v>198</v>
      </c>
      <c r="D226" s="8" t="s">
        <v>423</v>
      </c>
      <c r="F226" s="50"/>
      <c r="G226"/>
      <c r="H226" s="50"/>
      <c r="I226"/>
      <c r="J226" s="50"/>
      <c r="K226"/>
      <c r="L226" s="50"/>
      <c r="M226"/>
      <c r="N226" s="50"/>
      <c r="O226"/>
      <c r="P226" s="50"/>
      <c r="Q226"/>
      <c r="R226" s="50"/>
      <c r="S226"/>
    </row>
    <row r="227" spans="2:19" ht="12.75">
      <c r="B227" s="8" t="s">
        <v>82</v>
      </c>
      <c r="C227" s="8"/>
      <c r="D227" s="8" t="s">
        <v>17</v>
      </c>
      <c r="F227" s="50"/>
      <c r="G227">
        <v>53846</v>
      </c>
      <c r="H227" s="50"/>
      <c r="I227">
        <v>54199</v>
      </c>
      <c r="J227" s="50"/>
      <c r="K227">
        <v>51735</v>
      </c>
      <c r="L227" s="50"/>
      <c r="M227"/>
      <c r="N227" s="50"/>
      <c r="O227"/>
      <c r="P227" s="50"/>
      <c r="Q227"/>
      <c r="R227" s="50"/>
      <c r="S227" s="63">
        <f>AVERAGE(K227,I227,G227)</f>
        <v>53260</v>
      </c>
    </row>
    <row r="228" spans="2:19" ht="12.75">
      <c r="B228" s="8" t="s">
        <v>87</v>
      </c>
      <c r="C228" s="8"/>
      <c r="D228" s="8" t="s">
        <v>18</v>
      </c>
      <c r="F228" s="50"/>
      <c r="G228" s="5">
        <v>16.2</v>
      </c>
      <c r="H228" s="116"/>
      <c r="I228" s="5">
        <v>15.9</v>
      </c>
      <c r="J228" s="116"/>
      <c r="K228" s="5">
        <v>15.9</v>
      </c>
      <c r="L228" s="116"/>
      <c r="M228" s="5"/>
      <c r="N228" s="116"/>
      <c r="O228" s="5"/>
      <c r="P228" s="116"/>
      <c r="Q228" s="5"/>
      <c r="R228" s="116"/>
      <c r="S228" s="5">
        <f>AVERAGE(K228,I228,G228)</f>
        <v>16</v>
      </c>
    </row>
    <row r="229" spans="2:19" ht="12.75">
      <c r="B229" s="8" t="s">
        <v>88</v>
      </c>
      <c r="C229" s="8"/>
      <c r="D229" s="8" t="s">
        <v>18</v>
      </c>
      <c r="F229" s="50"/>
      <c r="G229">
        <v>28.5</v>
      </c>
      <c r="H229" s="50"/>
      <c r="I229">
        <v>29.8</v>
      </c>
      <c r="J229" s="50"/>
      <c r="K229">
        <v>31.2</v>
      </c>
      <c r="L229" s="50"/>
      <c r="M229"/>
      <c r="N229" s="50"/>
      <c r="O229"/>
      <c r="P229" s="50"/>
      <c r="Q229"/>
      <c r="R229" s="50"/>
      <c r="S229" s="5">
        <f>AVERAGE(K229,I229,G229)</f>
        <v>29.833333333333332</v>
      </c>
    </row>
    <row r="230" spans="2:19" ht="12.75">
      <c r="B230" s="8" t="s">
        <v>81</v>
      </c>
      <c r="C230" s="8"/>
      <c r="D230" s="8" t="s">
        <v>19</v>
      </c>
      <c r="F230" s="50"/>
      <c r="G230" s="63">
        <v>208</v>
      </c>
      <c r="H230" s="117"/>
      <c r="I230" s="63">
        <v>207</v>
      </c>
      <c r="J230" s="117"/>
      <c r="K230" s="63">
        <v>206</v>
      </c>
      <c r="L230" s="117"/>
      <c r="M230" s="63"/>
      <c r="N230" s="117"/>
      <c r="O230" s="63"/>
      <c r="P230" s="117"/>
      <c r="Q230" s="63"/>
      <c r="R230" s="117"/>
      <c r="S230" s="63">
        <f>AVERAGE(K230,I230,G230)</f>
        <v>207</v>
      </c>
    </row>
    <row r="231" spans="2:19" ht="12.75">
      <c r="B231" s="8"/>
      <c r="C231" s="8"/>
      <c r="F231" s="50"/>
      <c r="G231"/>
      <c r="H231" s="50"/>
      <c r="I231"/>
      <c r="J231" s="50"/>
      <c r="K231"/>
      <c r="L231" s="50"/>
      <c r="M231"/>
      <c r="N231" s="50"/>
      <c r="O231"/>
      <c r="P231" s="50"/>
      <c r="Q231"/>
      <c r="R231" s="50"/>
      <c r="S231" s="5"/>
    </row>
    <row r="232" spans="2:19" ht="12.75">
      <c r="B232" s="8" t="s">
        <v>89</v>
      </c>
      <c r="C232" s="8" t="s">
        <v>72</v>
      </c>
      <c r="D232" s="8" t="s">
        <v>424</v>
      </c>
      <c r="F232" s="50"/>
      <c r="G232"/>
      <c r="H232" s="50"/>
      <c r="I232"/>
      <c r="J232" s="50"/>
      <c r="K232"/>
      <c r="L232" s="50"/>
      <c r="M232"/>
      <c r="N232" s="50"/>
      <c r="O232"/>
      <c r="P232" s="50"/>
      <c r="Q232"/>
      <c r="R232" s="50"/>
      <c r="S232"/>
    </row>
    <row r="233" spans="2:19" ht="12.75">
      <c r="B233" s="8" t="s">
        <v>82</v>
      </c>
      <c r="C233" s="8"/>
      <c r="D233" s="8" t="s">
        <v>17</v>
      </c>
      <c r="F233" s="50"/>
      <c r="G233">
        <v>50694</v>
      </c>
      <c r="H233" s="50"/>
      <c r="I233">
        <v>52801</v>
      </c>
      <c r="J233" s="50"/>
      <c r="K233">
        <v>51325</v>
      </c>
      <c r="L233" s="50"/>
      <c r="M233">
        <v>52201</v>
      </c>
      <c r="N233" s="50"/>
      <c r="O233">
        <v>52835</v>
      </c>
      <c r="P233" s="50"/>
      <c r="Q233">
        <v>50311</v>
      </c>
      <c r="R233" s="50"/>
      <c r="S233" s="63">
        <f>AVERAGE(G233,I233,K233,M233,O233,Q233)</f>
        <v>51694.5</v>
      </c>
    </row>
    <row r="234" spans="2:19" ht="12.75">
      <c r="B234" s="8" t="s">
        <v>87</v>
      </c>
      <c r="C234" s="8"/>
      <c r="D234" s="8" t="s">
        <v>18</v>
      </c>
      <c r="F234" s="50"/>
      <c r="G234" s="60">
        <v>16.2</v>
      </c>
      <c r="H234" s="112"/>
      <c r="I234" s="60">
        <v>15.9</v>
      </c>
      <c r="J234" s="112"/>
      <c r="K234" s="60">
        <v>15.9</v>
      </c>
      <c r="L234" s="112"/>
      <c r="M234" s="60">
        <v>15.6</v>
      </c>
      <c r="N234" s="112"/>
      <c r="O234" s="60">
        <v>15.6</v>
      </c>
      <c r="P234" s="112"/>
      <c r="Q234" s="60">
        <v>15.5</v>
      </c>
      <c r="R234" s="112"/>
      <c r="S234" s="60">
        <f>AVERAGE(G234,I234,K234,M234,O234,Q234)</f>
        <v>15.783333333333333</v>
      </c>
    </row>
    <row r="235" spans="2:19" ht="12.75">
      <c r="B235" s="8" t="s">
        <v>88</v>
      </c>
      <c r="C235" s="8"/>
      <c r="D235" s="8" t="s">
        <v>18</v>
      </c>
      <c r="F235" s="50"/>
      <c r="G235" s="71">
        <v>29.7</v>
      </c>
      <c r="H235" s="115"/>
      <c r="I235" s="71">
        <v>29.5</v>
      </c>
      <c r="J235" s="115"/>
      <c r="K235" s="71">
        <v>30.9</v>
      </c>
      <c r="L235" s="115"/>
      <c r="M235" s="71">
        <v>27.1</v>
      </c>
      <c r="N235" s="115"/>
      <c r="O235" s="71">
        <v>27.6</v>
      </c>
      <c r="P235" s="115"/>
      <c r="Q235" s="71">
        <v>30.9</v>
      </c>
      <c r="R235" s="115"/>
      <c r="S235" s="71">
        <f>AVERAGE(G235,I235,K235,M235,O235,Q235)</f>
        <v>29.28333333333333</v>
      </c>
    </row>
    <row r="236" spans="2:19" ht="12.75">
      <c r="B236" s="8" t="s">
        <v>81</v>
      </c>
      <c r="C236" s="8" t="s">
        <v>142</v>
      </c>
      <c r="D236" s="8" t="s">
        <v>19</v>
      </c>
      <c r="F236" s="50"/>
      <c r="G236"/>
      <c r="H236" s="50"/>
      <c r="I236"/>
      <c r="J236" s="50"/>
      <c r="K236"/>
      <c r="L236" s="50"/>
      <c r="M236"/>
      <c r="N236" s="50"/>
      <c r="O236"/>
      <c r="P236" s="50"/>
      <c r="Q236"/>
      <c r="R236" s="50"/>
      <c r="S236" s="5"/>
    </row>
    <row r="238" spans="2:19" ht="12.75">
      <c r="B238" s="8" t="s">
        <v>89</v>
      </c>
      <c r="C238" s="8" t="s">
        <v>197</v>
      </c>
      <c r="D238" s="8" t="s">
        <v>432</v>
      </c>
      <c r="F238" s="50"/>
      <c r="G238"/>
      <c r="H238" s="50"/>
      <c r="I238"/>
      <c r="J238" s="50"/>
      <c r="K238"/>
      <c r="L238" s="50"/>
      <c r="M238"/>
      <c r="N238" s="50"/>
      <c r="O238"/>
      <c r="P238" s="50"/>
      <c r="Q238"/>
      <c r="R238" s="50"/>
      <c r="S238"/>
    </row>
    <row r="239" spans="2:19" ht="12.75">
      <c r="B239" s="8" t="s">
        <v>262</v>
      </c>
      <c r="C239" s="8"/>
      <c r="D239" s="8" t="s">
        <v>263</v>
      </c>
      <c r="F239" s="50"/>
      <c r="G239">
        <v>168.269</v>
      </c>
      <c r="H239" s="50"/>
      <c r="I239">
        <v>180.435</v>
      </c>
      <c r="J239" s="50"/>
      <c r="K239">
        <v>181.983</v>
      </c>
      <c r="L239" s="50"/>
      <c r="M239">
        <v>161.717</v>
      </c>
      <c r="N239" s="50"/>
      <c r="O239">
        <v>164.805</v>
      </c>
      <c r="P239" s="50"/>
      <c r="Q239">
        <v>163.153</v>
      </c>
      <c r="R239" s="50"/>
      <c r="S239" s="69">
        <f>AVERAGE(K239,I239,G239,M239&lt;O239,Q239)</f>
        <v>138.96800000000002</v>
      </c>
    </row>
    <row r="240" spans="2:19" ht="12.75">
      <c r="B240" s="8" t="s">
        <v>82</v>
      </c>
      <c r="C240" s="8"/>
      <c r="D240" s="8" t="s">
        <v>17</v>
      </c>
      <c r="F240" s="50"/>
      <c r="G240">
        <v>50694</v>
      </c>
      <c r="H240" s="50"/>
      <c r="I240">
        <v>52801</v>
      </c>
      <c r="J240" s="50"/>
      <c r="K240">
        <v>51325</v>
      </c>
      <c r="L240" s="50"/>
      <c r="M240">
        <v>52201</v>
      </c>
      <c r="N240" s="50"/>
      <c r="O240">
        <v>52835</v>
      </c>
      <c r="P240" s="50"/>
      <c r="Q240">
        <v>50311</v>
      </c>
      <c r="R240" s="50"/>
      <c r="S240" s="63">
        <f>AVERAGE(K240,I240,G240,M240&lt;O240,Q240)</f>
        <v>41026.4</v>
      </c>
    </row>
    <row r="241" spans="2:19" ht="12.75">
      <c r="B241" s="8" t="s">
        <v>87</v>
      </c>
      <c r="C241" s="8"/>
      <c r="D241" s="8" t="s">
        <v>18</v>
      </c>
      <c r="F241" s="50"/>
      <c r="G241" s="5">
        <v>16.2</v>
      </c>
      <c r="H241" s="116"/>
      <c r="I241" s="5">
        <v>15.9</v>
      </c>
      <c r="J241" s="116"/>
      <c r="K241" s="5">
        <v>15.9</v>
      </c>
      <c r="L241" s="116"/>
      <c r="M241" s="5">
        <v>15.6</v>
      </c>
      <c r="N241" s="116"/>
      <c r="O241" s="5">
        <v>15.6</v>
      </c>
      <c r="P241" s="116"/>
      <c r="Q241" s="5">
        <v>15.5</v>
      </c>
      <c r="R241" s="116"/>
      <c r="S241" s="5">
        <f>AVERAGE(K241,I241,G241,M241&lt;O241,Q241)</f>
        <v>12.7</v>
      </c>
    </row>
    <row r="242" spans="2:19" ht="12.75">
      <c r="B242" s="8" t="s">
        <v>88</v>
      </c>
      <c r="C242" s="8"/>
      <c r="D242" s="8" t="s">
        <v>18</v>
      </c>
      <c r="F242" s="50"/>
      <c r="G242">
        <v>19.7</v>
      </c>
      <c r="H242" s="50"/>
      <c r="I242">
        <v>19.5</v>
      </c>
      <c r="J242" s="50"/>
      <c r="K242">
        <v>30.9</v>
      </c>
      <c r="L242" s="50"/>
      <c r="M242">
        <v>17.1</v>
      </c>
      <c r="N242" s="50"/>
      <c r="O242">
        <v>27.6</v>
      </c>
      <c r="P242" s="50"/>
      <c r="Q242">
        <v>30.9</v>
      </c>
      <c r="R242" s="50"/>
      <c r="S242" s="5">
        <f>AVERAGE(K242,I242,G242,M242&lt;O242,Q242)</f>
        <v>20.4</v>
      </c>
    </row>
    <row r="243" spans="2:19" ht="12.75">
      <c r="B243" s="8" t="s">
        <v>81</v>
      </c>
      <c r="C243" s="8"/>
      <c r="D243" s="8" t="s">
        <v>19</v>
      </c>
      <c r="F243" s="50"/>
      <c r="G243" s="63"/>
      <c r="H243" s="117"/>
      <c r="I243" s="63"/>
      <c r="J243" s="117"/>
      <c r="K243" s="63"/>
      <c r="L243" s="117"/>
      <c r="M243" s="63"/>
      <c r="N243" s="117"/>
      <c r="O243" s="63"/>
      <c r="P243" s="117"/>
      <c r="Q243" s="63"/>
      <c r="R243" s="117"/>
      <c r="S243" s="63"/>
    </row>
    <row r="244" spans="2:19" ht="12.75">
      <c r="B244" s="8"/>
      <c r="C244" s="8"/>
      <c r="F244" s="50"/>
      <c r="G244"/>
      <c r="H244" s="50"/>
      <c r="I244"/>
      <c r="J244" s="50"/>
      <c r="K244"/>
      <c r="L244" s="50"/>
      <c r="M244"/>
      <c r="N244" s="50"/>
      <c r="O244"/>
      <c r="P244" s="50"/>
      <c r="Q244"/>
      <c r="R244" s="50"/>
      <c r="S244" s="5"/>
    </row>
    <row r="245" spans="2:19" ht="12.75">
      <c r="B245" s="8" t="s">
        <v>105</v>
      </c>
      <c r="C245" s="8" t="s">
        <v>423</v>
      </c>
      <c r="D245" s="8" t="s">
        <v>57</v>
      </c>
      <c r="E245" s="8" t="s">
        <v>15</v>
      </c>
      <c r="F245" s="50"/>
      <c r="G245" s="5">
        <f aca="true" t="shared" si="16" ref="G245:G251">G206*454000000/60/G$227/0.028317*(21-7)/(21-G$228)</f>
        <v>4.863288017838196</v>
      </c>
      <c r="H245" s="50"/>
      <c r="I245" s="5">
        <f aca="true" t="shared" si="17" ref="I245:I251">I206*454000000/60/I$227/0.028317*(21-7)/(21-I$228)</f>
        <v>5.724852675938654</v>
      </c>
      <c r="J245" s="50"/>
      <c r="K245" s="5">
        <f aca="true" t="shared" si="18" ref="K245:K251">K206*454000000/60/K$227/0.028317*(21-7)/(21-K$228)</f>
        <v>9.102607066591352</v>
      </c>
      <c r="L245" s="116"/>
      <c r="M245" s="5"/>
      <c r="N245" s="116"/>
      <c r="O245" s="5"/>
      <c r="P245" s="116"/>
      <c r="Q245" s="5"/>
      <c r="R245" s="50"/>
      <c r="S245" s="5">
        <f aca="true" t="shared" si="19" ref="S245:S251">AVERAGE(G245,I245,K245)</f>
        <v>6.563582586789401</v>
      </c>
    </row>
    <row r="246" spans="2:19" ht="12.75">
      <c r="B246" s="8" t="s">
        <v>84</v>
      </c>
      <c r="C246" s="8" t="s">
        <v>423</v>
      </c>
      <c r="D246" s="8" t="s">
        <v>57</v>
      </c>
      <c r="E246" s="8" t="s">
        <v>15</v>
      </c>
      <c r="F246" s="50" t="s">
        <v>102</v>
      </c>
      <c r="G246" s="5">
        <f t="shared" si="16"/>
        <v>0.11043716540507567</v>
      </c>
      <c r="H246" s="50" t="s">
        <v>102</v>
      </c>
      <c r="I246" s="5">
        <f t="shared" si="17"/>
        <v>0.10055710492251581</v>
      </c>
      <c r="J246" s="50" t="s">
        <v>102</v>
      </c>
      <c r="K246" s="5">
        <f t="shared" si="18"/>
        <v>0.1046374457187604</v>
      </c>
      <c r="L246" s="116"/>
      <c r="M246" s="5"/>
      <c r="N246" s="116"/>
      <c r="O246" s="5"/>
      <c r="P246" s="116"/>
      <c r="Q246" s="5"/>
      <c r="R246" s="50">
        <v>100</v>
      </c>
      <c r="S246" s="5">
        <f t="shared" si="19"/>
        <v>0.10521057201545063</v>
      </c>
    </row>
    <row r="247" spans="2:19" ht="12.75">
      <c r="B247" s="8" t="s">
        <v>106</v>
      </c>
      <c r="C247" s="8" t="s">
        <v>423</v>
      </c>
      <c r="D247" s="8" t="s">
        <v>57</v>
      </c>
      <c r="E247" s="8" t="s">
        <v>15</v>
      </c>
      <c r="F247" s="50"/>
      <c r="G247" s="5">
        <f t="shared" si="16"/>
        <v>6.412013666375954</v>
      </c>
      <c r="H247" s="50"/>
      <c r="I247" s="5">
        <f t="shared" si="17"/>
        <v>10.055710492251583</v>
      </c>
      <c r="J247" s="50"/>
      <c r="K247" s="5">
        <f t="shared" si="18"/>
        <v>5.643049240659436</v>
      </c>
      <c r="L247" s="116"/>
      <c r="M247" s="5"/>
      <c r="N247" s="116"/>
      <c r="O247" s="5"/>
      <c r="P247" s="116"/>
      <c r="Q247" s="5"/>
      <c r="R247" s="50"/>
      <c r="S247" s="5">
        <f t="shared" si="19"/>
        <v>7.370257799762324</v>
      </c>
    </row>
    <row r="248" spans="2:19" ht="12.75">
      <c r="B248" s="8" t="s">
        <v>145</v>
      </c>
      <c r="C248" s="8" t="s">
        <v>423</v>
      </c>
      <c r="D248" s="8" t="s">
        <v>57</v>
      </c>
      <c r="E248" s="8" t="s">
        <v>15</v>
      </c>
      <c r="F248" s="50"/>
      <c r="G248" s="5">
        <f t="shared" si="16"/>
        <v>4.964606518209825</v>
      </c>
      <c r="H248" s="50"/>
      <c r="I248" s="5">
        <f t="shared" si="17"/>
        <v>13.371523507866172</v>
      </c>
      <c r="J248" s="50"/>
      <c r="K248" s="5">
        <f t="shared" si="18"/>
        <v>79.68325812187443</v>
      </c>
      <c r="L248" s="116"/>
      <c r="M248" s="5"/>
      <c r="N248" s="116"/>
      <c r="O248" s="5"/>
      <c r="P248" s="116"/>
      <c r="Q248" s="5"/>
      <c r="R248" s="50"/>
      <c r="S248" s="5">
        <f t="shared" si="19"/>
        <v>32.67312938265014</v>
      </c>
    </row>
    <row r="249" spans="2:19" ht="12.75">
      <c r="B249" s="8" t="s">
        <v>83</v>
      </c>
      <c r="C249" s="8" t="s">
        <v>423</v>
      </c>
      <c r="D249" s="8" t="s">
        <v>57</v>
      </c>
      <c r="E249" s="8" t="s">
        <v>15</v>
      </c>
      <c r="F249" s="50"/>
      <c r="G249" s="5">
        <f t="shared" si="16"/>
        <v>286.58661533689366</v>
      </c>
      <c r="H249" s="50"/>
      <c r="I249" s="5">
        <f t="shared" si="17"/>
        <v>211.1293185452553</v>
      </c>
      <c r="J249" s="50"/>
      <c r="K249" s="5">
        <f t="shared" si="18"/>
        <v>52.74407832978167</v>
      </c>
      <c r="L249" s="116"/>
      <c r="M249" s="5"/>
      <c r="N249" s="116"/>
      <c r="O249" s="5"/>
      <c r="P249" s="116"/>
      <c r="Q249" s="5"/>
      <c r="R249" s="50"/>
      <c r="S249" s="5">
        <f t="shared" si="19"/>
        <v>183.48667073731022</v>
      </c>
    </row>
    <row r="250" spans="2:19" ht="12.75">
      <c r="B250" s="8" t="s">
        <v>85</v>
      </c>
      <c r="C250" s="8" t="s">
        <v>423</v>
      </c>
      <c r="D250" s="8" t="s">
        <v>57</v>
      </c>
      <c r="E250" s="8" t="s">
        <v>15</v>
      </c>
      <c r="F250" s="50"/>
      <c r="G250" s="5">
        <f t="shared" si="16"/>
        <v>46.60651017094937</v>
      </c>
      <c r="H250" s="50"/>
      <c r="I250" s="5">
        <f t="shared" si="17"/>
        <v>80.25620890854897</v>
      </c>
      <c r="J250" s="50"/>
      <c r="K250" s="5">
        <f t="shared" si="18"/>
        <v>53.453004113784104</v>
      </c>
      <c r="L250" s="116"/>
      <c r="M250" s="5"/>
      <c r="N250" s="116"/>
      <c r="O250" s="5"/>
      <c r="P250" s="116"/>
      <c r="Q250" s="5"/>
      <c r="R250" s="50"/>
      <c r="S250" s="5">
        <f t="shared" si="19"/>
        <v>60.10524106442748</v>
      </c>
    </row>
    <row r="251" spans="2:19" ht="12.75">
      <c r="B251" s="8" t="s">
        <v>107</v>
      </c>
      <c r="C251" s="8" t="s">
        <v>423</v>
      </c>
      <c r="D251" s="8" t="s">
        <v>57</v>
      </c>
      <c r="E251" s="8" t="s">
        <v>15</v>
      </c>
      <c r="F251" s="50"/>
      <c r="G251" s="5">
        <f t="shared" si="16"/>
        <v>4.747495445984906</v>
      </c>
      <c r="H251" s="50"/>
      <c r="I251" s="5">
        <f t="shared" si="17"/>
        <v>4.222586370905106</v>
      </c>
      <c r="J251" s="50"/>
      <c r="K251" s="5">
        <f t="shared" si="18"/>
        <v>6.904937136183781</v>
      </c>
      <c r="L251" s="116"/>
      <c r="M251" s="5"/>
      <c r="N251" s="116"/>
      <c r="O251" s="5"/>
      <c r="P251" s="116"/>
      <c r="Q251" s="5"/>
      <c r="R251" s="50"/>
      <c r="S251" s="5">
        <f t="shared" si="19"/>
        <v>5.291672984357931</v>
      </c>
    </row>
    <row r="252" spans="2:19" ht="12.75">
      <c r="B252" s="8"/>
      <c r="C252" s="8"/>
      <c r="F252" s="50"/>
      <c r="G252" s="67"/>
      <c r="H252" s="50"/>
      <c r="I252" s="67"/>
      <c r="J252" s="50"/>
      <c r="K252" s="67"/>
      <c r="L252" s="50"/>
      <c r="M252" s="67"/>
      <c r="N252" s="50"/>
      <c r="O252" s="67"/>
      <c r="P252" s="50"/>
      <c r="Q252" s="67"/>
      <c r="R252" s="50"/>
      <c r="S252" s="64"/>
    </row>
    <row r="253" spans="2:19" ht="12.75">
      <c r="B253" s="8" t="s">
        <v>58</v>
      </c>
      <c r="C253" s="8" t="s">
        <v>423</v>
      </c>
      <c r="D253" s="8" t="s">
        <v>57</v>
      </c>
      <c r="E253" s="8" t="s">
        <v>15</v>
      </c>
      <c r="F253" s="50"/>
      <c r="G253" s="5">
        <f>G249+G247</f>
        <v>292.9986290032696</v>
      </c>
      <c r="H253" s="116"/>
      <c r="I253" s="5">
        <f>I249+I247</f>
        <v>221.1850290375069</v>
      </c>
      <c r="J253" s="116"/>
      <c r="K253" s="5">
        <f>K249+K247</f>
        <v>58.38712757044111</v>
      </c>
      <c r="L253" s="116"/>
      <c r="M253" s="5"/>
      <c r="N253" s="116"/>
      <c r="O253" s="5"/>
      <c r="P253" s="116"/>
      <c r="Q253" s="5"/>
      <c r="R253" s="116"/>
      <c r="S253" s="5">
        <f>AVERAGE(G253,I253,K253)</f>
        <v>190.85692853707255</v>
      </c>
    </row>
    <row r="254" spans="2:19" ht="12.75">
      <c r="B254" s="8" t="s">
        <v>59</v>
      </c>
      <c r="C254" s="8" t="s">
        <v>423</v>
      </c>
      <c r="D254" s="8" t="s">
        <v>57</v>
      </c>
      <c r="E254" s="8" t="s">
        <v>15</v>
      </c>
      <c r="F254" s="50">
        <f>G246/G254*100</f>
        <v>1.1112243857681718</v>
      </c>
      <c r="G254" s="5">
        <f>G245+G246+G248</f>
        <v>9.938331701453096</v>
      </c>
      <c r="H254" s="50">
        <f>I246/I254*100</f>
        <v>0.5238185881573286</v>
      </c>
      <c r="I254" s="5">
        <f>I245+I246+I248</f>
        <v>19.196933288727344</v>
      </c>
      <c r="J254" s="50">
        <f>K246/K254*100</f>
        <v>0.11771498936098945</v>
      </c>
      <c r="K254" s="5">
        <f>K245+K246+K248</f>
        <v>88.89050263418454</v>
      </c>
      <c r="L254" s="116"/>
      <c r="M254" s="5"/>
      <c r="N254" s="116"/>
      <c r="O254" s="5"/>
      <c r="P254" s="116"/>
      <c r="Q254" s="5"/>
      <c r="R254" s="116">
        <f>(F254*G254+H254*I254+J254*K254)/(3*S254)</f>
        <v>0.267426107365722</v>
      </c>
      <c r="S254" s="5">
        <f>AVERAGE(G254,I254,K254)</f>
        <v>39.341922541455</v>
      </c>
    </row>
    <row r="256" spans="2:17" ht="12.75">
      <c r="B256" s="8" t="s">
        <v>199</v>
      </c>
      <c r="D256" s="8" t="s">
        <v>264</v>
      </c>
      <c r="G256" s="17">
        <v>5.1</v>
      </c>
      <c r="H256" s="19" t="s">
        <v>102</v>
      </c>
      <c r="I256" s="18">
        <v>4</v>
      </c>
      <c r="J256" s="19" t="s">
        <v>102</v>
      </c>
      <c r="K256" s="17">
        <v>4</v>
      </c>
      <c r="L256" s="19" t="s">
        <v>102</v>
      </c>
      <c r="M256" s="17">
        <v>4</v>
      </c>
      <c r="N256" s="19" t="s">
        <v>102</v>
      </c>
      <c r="O256" s="17">
        <v>4</v>
      </c>
      <c r="P256" s="19" t="s">
        <v>102</v>
      </c>
      <c r="Q256" s="17">
        <v>4</v>
      </c>
    </row>
    <row r="257" spans="2:17" ht="12.75">
      <c r="B257" s="8" t="s">
        <v>200</v>
      </c>
      <c r="D257" s="8" t="s">
        <v>264</v>
      </c>
      <c r="F257" s="19" t="s">
        <v>102</v>
      </c>
      <c r="G257" s="17">
        <v>4</v>
      </c>
      <c r="H257" s="19" t="s">
        <v>102</v>
      </c>
      <c r="I257" s="18">
        <v>4</v>
      </c>
      <c r="J257" s="19" t="s">
        <v>102</v>
      </c>
      <c r="K257" s="17">
        <v>4</v>
      </c>
      <c r="L257" s="19" t="s">
        <v>102</v>
      </c>
      <c r="M257" s="17">
        <v>4</v>
      </c>
      <c r="N257" s="19" t="s">
        <v>102</v>
      </c>
      <c r="O257" s="17">
        <v>4</v>
      </c>
      <c r="P257" s="19" t="s">
        <v>102</v>
      </c>
      <c r="Q257" s="17">
        <v>4</v>
      </c>
    </row>
    <row r="258" spans="2:17" ht="12.75">
      <c r="B258" s="8" t="s">
        <v>201</v>
      </c>
      <c r="D258" s="8" t="s">
        <v>264</v>
      </c>
      <c r="F258" s="19" t="s">
        <v>102</v>
      </c>
      <c r="G258" s="17">
        <v>4</v>
      </c>
      <c r="H258" s="19" t="s">
        <v>102</v>
      </c>
      <c r="I258" s="18">
        <v>4</v>
      </c>
      <c r="J258" s="19" t="s">
        <v>102</v>
      </c>
      <c r="K258" s="17">
        <v>4</v>
      </c>
      <c r="L258" s="19" t="s">
        <v>102</v>
      </c>
      <c r="M258" s="17">
        <v>4</v>
      </c>
      <c r="N258" s="19" t="s">
        <v>102</v>
      </c>
      <c r="O258" s="17">
        <v>4</v>
      </c>
      <c r="P258" s="19" t="s">
        <v>102</v>
      </c>
      <c r="Q258" s="17">
        <v>4</v>
      </c>
    </row>
    <row r="259" spans="2:17" ht="12.75">
      <c r="B259" s="8" t="s">
        <v>202</v>
      </c>
      <c r="D259" s="8" t="s">
        <v>264</v>
      </c>
      <c r="F259" s="19" t="s">
        <v>102</v>
      </c>
      <c r="G259" s="17">
        <v>4</v>
      </c>
      <c r="H259" s="19" t="s">
        <v>102</v>
      </c>
      <c r="I259" s="18">
        <v>4</v>
      </c>
      <c r="J259" s="19" t="s">
        <v>102</v>
      </c>
      <c r="K259" s="17">
        <v>4</v>
      </c>
      <c r="L259" s="19" t="s">
        <v>102</v>
      </c>
      <c r="M259" s="17">
        <v>4</v>
      </c>
      <c r="N259" s="19" t="s">
        <v>102</v>
      </c>
      <c r="O259" s="17">
        <v>4</v>
      </c>
      <c r="P259" s="19" t="s">
        <v>102</v>
      </c>
      <c r="Q259" s="17">
        <v>4</v>
      </c>
    </row>
    <row r="260" spans="2:17" ht="12.75">
      <c r="B260" s="8" t="s">
        <v>203</v>
      </c>
      <c r="D260" s="8" t="s">
        <v>264</v>
      </c>
      <c r="F260" s="19" t="s">
        <v>102</v>
      </c>
      <c r="G260" s="17">
        <v>4</v>
      </c>
      <c r="H260" s="19" t="s">
        <v>102</v>
      </c>
      <c r="I260" s="18">
        <v>4</v>
      </c>
      <c r="J260" s="19" t="s">
        <v>102</v>
      </c>
      <c r="K260" s="17">
        <v>4</v>
      </c>
      <c r="L260" s="19" t="s">
        <v>102</v>
      </c>
      <c r="M260" s="17">
        <v>4</v>
      </c>
      <c r="N260" s="19" t="s">
        <v>102</v>
      </c>
      <c r="O260" s="17">
        <v>4</v>
      </c>
      <c r="P260" s="19" t="s">
        <v>102</v>
      </c>
      <c r="Q260" s="17">
        <v>4</v>
      </c>
    </row>
    <row r="261" spans="2:17" ht="12.75">
      <c r="B261" s="8" t="s">
        <v>204</v>
      </c>
      <c r="D261" s="8" t="s">
        <v>264</v>
      </c>
      <c r="F261" s="19" t="s">
        <v>102</v>
      </c>
      <c r="G261" s="17">
        <v>4</v>
      </c>
      <c r="H261" s="19" t="s">
        <v>102</v>
      </c>
      <c r="I261" s="18">
        <v>4</v>
      </c>
      <c r="J261" s="19" t="s">
        <v>102</v>
      </c>
      <c r="K261" s="17">
        <v>4</v>
      </c>
      <c r="L261" s="19" t="s">
        <v>102</v>
      </c>
      <c r="M261" s="17">
        <v>4</v>
      </c>
      <c r="N261" s="19" t="s">
        <v>102</v>
      </c>
      <c r="O261" s="17">
        <v>4</v>
      </c>
      <c r="P261" s="19" t="s">
        <v>102</v>
      </c>
      <c r="Q261" s="17">
        <v>4</v>
      </c>
    </row>
    <row r="262" spans="2:17" ht="12.75">
      <c r="B262" s="8" t="s">
        <v>205</v>
      </c>
      <c r="D262" s="8" t="s">
        <v>264</v>
      </c>
      <c r="F262" s="19" t="s">
        <v>102</v>
      </c>
      <c r="G262" s="17">
        <v>4</v>
      </c>
      <c r="H262" s="19" t="s">
        <v>102</v>
      </c>
      <c r="I262" s="18">
        <v>4</v>
      </c>
      <c r="J262" s="19" t="s">
        <v>102</v>
      </c>
      <c r="K262" s="17">
        <v>4</v>
      </c>
      <c r="L262" s="19" t="s">
        <v>102</v>
      </c>
      <c r="M262" s="17">
        <v>4</v>
      </c>
      <c r="N262" s="19" t="s">
        <v>102</v>
      </c>
      <c r="O262" s="17">
        <v>4</v>
      </c>
      <c r="P262" s="19" t="s">
        <v>102</v>
      </c>
      <c r="Q262" s="17">
        <v>4</v>
      </c>
    </row>
    <row r="263" spans="2:17" ht="12.75">
      <c r="B263" s="8" t="s">
        <v>206</v>
      </c>
      <c r="D263" s="8" t="s">
        <v>264</v>
      </c>
      <c r="F263" s="19" t="s">
        <v>102</v>
      </c>
      <c r="G263" s="17">
        <v>4</v>
      </c>
      <c r="H263" s="19" t="s">
        <v>102</v>
      </c>
      <c r="I263" s="18">
        <v>4</v>
      </c>
      <c r="J263" s="19" t="s">
        <v>102</v>
      </c>
      <c r="K263" s="17">
        <v>4</v>
      </c>
      <c r="L263" s="19" t="s">
        <v>102</v>
      </c>
      <c r="M263" s="17">
        <v>4</v>
      </c>
      <c r="N263" s="19" t="s">
        <v>102</v>
      </c>
      <c r="O263" s="17">
        <v>4</v>
      </c>
      <c r="P263" s="19" t="s">
        <v>102</v>
      </c>
      <c r="Q263" s="17">
        <v>4</v>
      </c>
    </row>
    <row r="264" spans="2:17" ht="12.75">
      <c r="B264" s="8" t="s">
        <v>207</v>
      </c>
      <c r="D264" s="8" t="s">
        <v>264</v>
      </c>
      <c r="F264" s="19" t="s">
        <v>102</v>
      </c>
      <c r="G264" s="17">
        <v>4</v>
      </c>
      <c r="H264" s="19" t="s">
        <v>102</v>
      </c>
      <c r="I264" s="18">
        <v>4</v>
      </c>
      <c r="J264" s="19" t="s">
        <v>102</v>
      </c>
      <c r="K264" s="17">
        <v>4</v>
      </c>
      <c r="L264" s="19" t="s">
        <v>102</v>
      </c>
      <c r="M264" s="17">
        <v>4</v>
      </c>
      <c r="N264" s="19" t="s">
        <v>102</v>
      </c>
      <c r="O264" s="17">
        <v>4</v>
      </c>
      <c r="P264" s="19" t="s">
        <v>102</v>
      </c>
      <c r="Q264" s="17">
        <v>4</v>
      </c>
    </row>
    <row r="265" spans="2:17" ht="12.75">
      <c r="B265" s="8" t="s">
        <v>208</v>
      </c>
      <c r="D265" s="8" t="s">
        <v>264</v>
      </c>
      <c r="F265" s="19" t="s">
        <v>102</v>
      </c>
      <c r="G265" s="17">
        <v>4</v>
      </c>
      <c r="H265" s="19" t="s">
        <v>102</v>
      </c>
      <c r="I265" s="18">
        <v>4</v>
      </c>
      <c r="J265" s="19" t="s">
        <v>102</v>
      </c>
      <c r="K265" s="17">
        <v>4</v>
      </c>
      <c r="L265" s="19" t="s">
        <v>102</v>
      </c>
      <c r="M265" s="17">
        <v>4</v>
      </c>
      <c r="N265" s="19" t="s">
        <v>102</v>
      </c>
      <c r="O265" s="17">
        <v>4</v>
      </c>
      <c r="P265" s="19" t="s">
        <v>102</v>
      </c>
      <c r="Q265" s="17">
        <v>4</v>
      </c>
    </row>
    <row r="266" spans="2:17" ht="12.75">
      <c r="B266" s="8" t="s">
        <v>209</v>
      </c>
      <c r="D266" s="8" t="s">
        <v>264</v>
      </c>
      <c r="F266" s="19" t="s">
        <v>102</v>
      </c>
      <c r="G266" s="17">
        <v>4</v>
      </c>
      <c r="H266" s="19" t="s">
        <v>102</v>
      </c>
      <c r="I266" s="18">
        <v>4</v>
      </c>
      <c r="J266" s="19" t="s">
        <v>102</v>
      </c>
      <c r="K266" s="17">
        <v>4</v>
      </c>
      <c r="L266" s="19" t="s">
        <v>102</v>
      </c>
      <c r="M266" s="17">
        <v>4</v>
      </c>
      <c r="N266" s="19" t="s">
        <v>102</v>
      </c>
      <c r="O266" s="17">
        <v>4</v>
      </c>
      <c r="P266" s="19" t="s">
        <v>102</v>
      </c>
      <c r="Q266" s="17">
        <v>4</v>
      </c>
    </row>
    <row r="267" spans="2:17" ht="12.75">
      <c r="B267" s="8" t="s">
        <v>210</v>
      </c>
      <c r="D267" s="8" t="s">
        <v>264</v>
      </c>
      <c r="F267" s="19" t="s">
        <v>102</v>
      </c>
      <c r="G267" s="17">
        <v>4</v>
      </c>
      <c r="H267" s="19" t="s">
        <v>102</v>
      </c>
      <c r="I267" s="18">
        <v>4</v>
      </c>
      <c r="J267" s="19" t="s">
        <v>102</v>
      </c>
      <c r="K267" s="17">
        <v>4</v>
      </c>
      <c r="L267" s="19" t="s">
        <v>102</v>
      </c>
      <c r="M267" s="17">
        <v>4</v>
      </c>
      <c r="N267" s="19" t="s">
        <v>102</v>
      </c>
      <c r="O267" s="17">
        <v>4</v>
      </c>
      <c r="P267" s="19" t="s">
        <v>102</v>
      </c>
      <c r="Q267" s="17">
        <v>4</v>
      </c>
    </row>
    <row r="268" spans="2:17" ht="12.75">
      <c r="B268" s="8" t="s">
        <v>211</v>
      </c>
      <c r="D268" s="8" t="s">
        <v>264</v>
      </c>
      <c r="F268" s="19" t="s">
        <v>102</v>
      </c>
      <c r="G268" s="17">
        <v>4</v>
      </c>
      <c r="H268" s="19" t="s">
        <v>102</v>
      </c>
      <c r="I268" s="18">
        <v>4</v>
      </c>
      <c r="J268" s="19" t="s">
        <v>102</v>
      </c>
      <c r="K268" s="17">
        <v>4</v>
      </c>
      <c r="L268" s="19" t="s">
        <v>102</v>
      </c>
      <c r="M268" s="17">
        <v>4</v>
      </c>
      <c r="N268" s="19" t="s">
        <v>102</v>
      </c>
      <c r="O268" s="17">
        <v>4</v>
      </c>
      <c r="P268" s="19" t="s">
        <v>102</v>
      </c>
      <c r="Q268" s="17">
        <v>4</v>
      </c>
    </row>
    <row r="269" spans="2:17" ht="12.75">
      <c r="B269" s="8" t="s">
        <v>212</v>
      </c>
      <c r="D269" s="8" t="s">
        <v>264</v>
      </c>
      <c r="F269" s="19" t="s">
        <v>102</v>
      </c>
      <c r="G269" s="17">
        <v>4</v>
      </c>
      <c r="H269" s="19" t="s">
        <v>102</v>
      </c>
      <c r="I269" s="18">
        <v>4</v>
      </c>
      <c r="J269" s="19" t="s">
        <v>102</v>
      </c>
      <c r="K269" s="17">
        <v>4</v>
      </c>
      <c r="L269" s="19" t="s">
        <v>102</v>
      </c>
      <c r="M269" s="17">
        <v>4</v>
      </c>
      <c r="N269" s="19" t="s">
        <v>102</v>
      </c>
      <c r="O269" s="17">
        <v>4</v>
      </c>
      <c r="P269" s="19" t="s">
        <v>102</v>
      </c>
      <c r="Q269" s="17">
        <v>4</v>
      </c>
    </row>
    <row r="270" spans="2:17" ht="12.75">
      <c r="B270" s="8" t="s">
        <v>213</v>
      </c>
      <c r="D270" s="8" t="s">
        <v>264</v>
      </c>
      <c r="F270" s="19" t="s">
        <v>102</v>
      </c>
      <c r="G270" s="17">
        <v>4</v>
      </c>
      <c r="H270" s="19" t="s">
        <v>102</v>
      </c>
      <c r="I270" s="18">
        <v>4</v>
      </c>
      <c r="J270" s="19" t="s">
        <v>102</v>
      </c>
      <c r="K270" s="17">
        <v>4</v>
      </c>
      <c r="L270" s="19" t="s">
        <v>102</v>
      </c>
      <c r="M270" s="17">
        <v>4</v>
      </c>
      <c r="N270" s="19" t="s">
        <v>102</v>
      </c>
      <c r="O270" s="17">
        <v>4</v>
      </c>
      <c r="P270" s="19" t="s">
        <v>102</v>
      </c>
      <c r="Q270" s="17">
        <v>4</v>
      </c>
    </row>
    <row r="271" spans="2:17" ht="12.75">
      <c r="B271" s="8" t="s">
        <v>214</v>
      </c>
      <c r="D271" s="8" t="s">
        <v>264</v>
      </c>
      <c r="F271" s="19" t="s">
        <v>102</v>
      </c>
      <c r="G271" s="17">
        <v>4</v>
      </c>
      <c r="H271" s="19" t="s">
        <v>102</v>
      </c>
      <c r="I271" s="18">
        <v>4</v>
      </c>
      <c r="J271" s="19" t="s">
        <v>102</v>
      </c>
      <c r="K271" s="17">
        <v>4</v>
      </c>
      <c r="L271" s="19" t="s">
        <v>102</v>
      </c>
      <c r="M271" s="17">
        <v>4</v>
      </c>
      <c r="N271" s="19" t="s">
        <v>102</v>
      </c>
      <c r="O271" s="17">
        <v>4</v>
      </c>
      <c r="P271" s="19" t="s">
        <v>102</v>
      </c>
      <c r="Q271" s="17">
        <v>4</v>
      </c>
    </row>
    <row r="272" spans="2:17" ht="12.75">
      <c r="B272" s="8" t="s">
        <v>215</v>
      </c>
      <c r="D272" s="8" t="s">
        <v>264</v>
      </c>
      <c r="G272" s="17">
        <v>250</v>
      </c>
      <c r="I272" s="18">
        <v>150</v>
      </c>
      <c r="K272" s="17">
        <v>280</v>
      </c>
      <c r="M272" s="17">
        <v>230</v>
      </c>
      <c r="O272" s="17">
        <v>200</v>
      </c>
      <c r="Q272" s="17">
        <v>110</v>
      </c>
    </row>
    <row r="273" spans="2:17" ht="12.75">
      <c r="B273" s="8" t="s">
        <v>216</v>
      </c>
      <c r="D273" s="8" t="s">
        <v>264</v>
      </c>
      <c r="F273" s="19" t="s">
        <v>102</v>
      </c>
      <c r="G273" s="17">
        <v>4</v>
      </c>
      <c r="H273" s="19" t="s">
        <v>102</v>
      </c>
      <c r="I273" s="18">
        <v>4</v>
      </c>
      <c r="J273" s="19" t="s">
        <v>102</v>
      </c>
      <c r="K273" s="17">
        <v>4</v>
      </c>
      <c r="L273" s="19" t="s">
        <v>102</v>
      </c>
      <c r="M273" s="17">
        <v>4</v>
      </c>
      <c r="N273" s="19" t="s">
        <v>102</v>
      </c>
      <c r="O273" s="17">
        <v>4</v>
      </c>
      <c r="P273" s="19" t="s">
        <v>102</v>
      </c>
      <c r="Q273" s="17">
        <v>4</v>
      </c>
    </row>
    <row r="274" spans="2:17" ht="12.75">
      <c r="B274" s="8" t="s">
        <v>217</v>
      </c>
      <c r="D274" s="8" t="s">
        <v>264</v>
      </c>
      <c r="F274" s="19" t="s">
        <v>102</v>
      </c>
      <c r="G274" s="17">
        <v>4</v>
      </c>
      <c r="I274" s="18">
        <v>4.1</v>
      </c>
      <c r="J274" s="19" t="s">
        <v>102</v>
      </c>
      <c r="K274" s="17">
        <v>4</v>
      </c>
      <c r="L274" s="19" t="s">
        <v>102</v>
      </c>
      <c r="M274" s="17">
        <v>4</v>
      </c>
      <c r="O274" s="17">
        <v>7</v>
      </c>
      <c r="Q274" s="17">
        <v>4.7</v>
      </c>
    </row>
    <row r="275" spans="2:17" ht="12.75">
      <c r="B275" s="8" t="s">
        <v>218</v>
      </c>
      <c r="D275" s="8" t="s">
        <v>264</v>
      </c>
      <c r="F275" s="19" t="s">
        <v>102</v>
      </c>
      <c r="G275" s="17">
        <v>4</v>
      </c>
      <c r="H275" s="19" t="s">
        <v>102</v>
      </c>
      <c r="I275" s="18">
        <v>4</v>
      </c>
      <c r="J275" s="19" t="s">
        <v>102</v>
      </c>
      <c r="K275" s="17">
        <v>4</v>
      </c>
      <c r="L275" s="19" t="s">
        <v>102</v>
      </c>
      <c r="M275" s="17">
        <v>4</v>
      </c>
      <c r="N275" s="19" t="s">
        <v>102</v>
      </c>
      <c r="O275" s="17">
        <v>4</v>
      </c>
      <c r="P275" s="19" t="s">
        <v>102</v>
      </c>
      <c r="Q275" s="17">
        <v>4</v>
      </c>
    </row>
    <row r="276" spans="2:17" ht="12.75">
      <c r="B276" s="8" t="s">
        <v>219</v>
      </c>
      <c r="D276" s="8" t="s">
        <v>264</v>
      </c>
      <c r="F276" s="19" t="s">
        <v>102</v>
      </c>
      <c r="G276" s="17">
        <v>4</v>
      </c>
      <c r="H276" s="19" t="s">
        <v>102</v>
      </c>
      <c r="I276" s="18">
        <v>4</v>
      </c>
      <c r="J276" s="19" t="s">
        <v>102</v>
      </c>
      <c r="K276" s="17">
        <v>4</v>
      </c>
      <c r="L276" s="19" t="s">
        <v>102</v>
      </c>
      <c r="M276" s="17">
        <v>4</v>
      </c>
      <c r="N276" s="19" t="s">
        <v>102</v>
      </c>
      <c r="O276" s="17">
        <v>4</v>
      </c>
      <c r="P276" s="19" t="s">
        <v>102</v>
      </c>
      <c r="Q276" s="17">
        <v>4</v>
      </c>
    </row>
    <row r="277" spans="2:17" ht="12.75">
      <c r="B277" s="8" t="s">
        <v>220</v>
      </c>
      <c r="D277" s="8" t="s">
        <v>264</v>
      </c>
      <c r="F277" s="19" t="s">
        <v>102</v>
      </c>
      <c r="G277" s="17">
        <v>4</v>
      </c>
      <c r="H277" s="19" t="s">
        <v>102</v>
      </c>
      <c r="I277" s="18">
        <v>4</v>
      </c>
      <c r="J277" s="19" t="s">
        <v>102</v>
      </c>
      <c r="K277" s="17">
        <v>4</v>
      </c>
      <c r="L277" s="19" t="s">
        <v>102</v>
      </c>
      <c r="M277" s="17">
        <v>4</v>
      </c>
      <c r="N277" s="19" t="s">
        <v>102</v>
      </c>
      <c r="O277" s="17">
        <v>4</v>
      </c>
      <c r="P277" s="19" t="s">
        <v>102</v>
      </c>
      <c r="Q277" s="17">
        <v>4</v>
      </c>
    </row>
    <row r="278" spans="2:17" ht="12.75">
      <c r="B278" s="8" t="s">
        <v>221</v>
      </c>
      <c r="D278" s="8" t="s">
        <v>264</v>
      </c>
      <c r="F278" s="19" t="s">
        <v>102</v>
      </c>
      <c r="G278" s="17">
        <v>4</v>
      </c>
      <c r="H278" s="19" t="s">
        <v>102</v>
      </c>
      <c r="I278" s="18">
        <v>4</v>
      </c>
      <c r="J278" s="19" t="s">
        <v>102</v>
      </c>
      <c r="K278" s="17">
        <v>4</v>
      </c>
      <c r="L278" s="19" t="s">
        <v>102</v>
      </c>
      <c r="M278" s="17">
        <v>4</v>
      </c>
      <c r="N278" s="19" t="s">
        <v>102</v>
      </c>
      <c r="O278" s="17">
        <v>4</v>
      </c>
      <c r="P278" s="19" t="s">
        <v>102</v>
      </c>
      <c r="Q278" s="17">
        <v>4</v>
      </c>
    </row>
    <row r="279" spans="2:17" ht="12.75">
      <c r="B279" s="8" t="s">
        <v>222</v>
      </c>
      <c r="D279" s="8" t="s">
        <v>264</v>
      </c>
      <c r="F279" s="19" t="s">
        <v>102</v>
      </c>
      <c r="G279" s="17">
        <v>4</v>
      </c>
      <c r="H279" s="19" t="s">
        <v>102</v>
      </c>
      <c r="I279" s="18">
        <v>4</v>
      </c>
      <c r="J279" s="19" t="s">
        <v>102</v>
      </c>
      <c r="K279" s="17">
        <v>4</v>
      </c>
      <c r="L279" s="19" t="s">
        <v>102</v>
      </c>
      <c r="M279" s="17">
        <v>4</v>
      </c>
      <c r="N279" s="19" t="s">
        <v>102</v>
      </c>
      <c r="O279" s="17">
        <v>4</v>
      </c>
      <c r="P279" s="19" t="s">
        <v>102</v>
      </c>
      <c r="Q279" s="17">
        <v>4</v>
      </c>
    </row>
    <row r="280" spans="2:17" ht="12.75">
      <c r="B280" s="8" t="s">
        <v>223</v>
      </c>
      <c r="D280" s="8" t="s">
        <v>264</v>
      </c>
      <c r="F280" s="19" t="s">
        <v>102</v>
      </c>
      <c r="G280" s="17">
        <v>4</v>
      </c>
      <c r="H280" s="19" t="s">
        <v>102</v>
      </c>
      <c r="I280" s="18">
        <v>4</v>
      </c>
      <c r="J280" s="19" t="s">
        <v>102</v>
      </c>
      <c r="K280" s="17">
        <v>4</v>
      </c>
      <c r="L280" s="19" t="s">
        <v>102</v>
      </c>
      <c r="M280" s="17">
        <v>4</v>
      </c>
      <c r="N280" s="19" t="s">
        <v>102</v>
      </c>
      <c r="O280" s="17">
        <v>4</v>
      </c>
      <c r="P280" s="19" t="s">
        <v>102</v>
      </c>
      <c r="Q280" s="17">
        <v>4</v>
      </c>
    </row>
    <row r="281" spans="2:17" ht="12.75">
      <c r="B281" s="8" t="s">
        <v>224</v>
      </c>
      <c r="D281" s="8" t="s">
        <v>264</v>
      </c>
      <c r="F281" s="19" t="s">
        <v>102</v>
      </c>
      <c r="G281" s="17">
        <v>4</v>
      </c>
      <c r="H281" s="19" t="s">
        <v>102</v>
      </c>
      <c r="I281" s="18">
        <v>4</v>
      </c>
      <c r="J281" s="19" t="s">
        <v>102</v>
      </c>
      <c r="K281" s="17">
        <v>4</v>
      </c>
      <c r="L281" s="19" t="s">
        <v>102</v>
      </c>
      <c r="M281" s="17">
        <v>4</v>
      </c>
      <c r="N281" s="19" t="s">
        <v>102</v>
      </c>
      <c r="O281" s="17">
        <v>4</v>
      </c>
      <c r="P281" s="19" t="s">
        <v>102</v>
      </c>
      <c r="Q281" s="17">
        <v>4</v>
      </c>
    </row>
    <row r="282" spans="2:17" ht="12.75">
      <c r="B282" s="8" t="s">
        <v>225</v>
      </c>
      <c r="D282" s="8" t="s">
        <v>264</v>
      </c>
      <c r="F282" s="19" t="s">
        <v>102</v>
      </c>
      <c r="G282" s="17">
        <v>4</v>
      </c>
      <c r="H282" s="19" t="s">
        <v>102</v>
      </c>
      <c r="I282" s="18">
        <v>4</v>
      </c>
      <c r="J282" s="19" t="s">
        <v>102</v>
      </c>
      <c r="K282" s="17">
        <v>4</v>
      </c>
      <c r="L282" s="19" t="s">
        <v>102</v>
      </c>
      <c r="M282" s="17">
        <v>4</v>
      </c>
      <c r="N282" s="19" t="s">
        <v>102</v>
      </c>
      <c r="O282" s="17">
        <v>4</v>
      </c>
      <c r="P282" s="19" t="s">
        <v>102</v>
      </c>
      <c r="Q282" s="17">
        <v>4</v>
      </c>
    </row>
    <row r="283" spans="2:17" ht="12.75">
      <c r="B283" s="8" t="s">
        <v>226</v>
      </c>
      <c r="D283" s="8" t="s">
        <v>264</v>
      </c>
      <c r="F283" s="19" t="s">
        <v>102</v>
      </c>
      <c r="G283" s="17">
        <v>4</v>
      </c>
      <c r="H283" s="19" t="s">
        <v>102</v>
      </c>
      <c r="I283" s="18">
        <v>4</v>
      </c>
      <c r="J283" s="19" t="s">
        <v>102</v>
      </c>
      <c r="K283" s="17">
        <v>4</v>
      </c>
      <c r="L283" s="19" t="s">
        <v>102</v>
      </c>
      <c r="M283" s="17">
        <v>4</v>
      </c>
      <c r="N283" s="19" t="s">
        <v>102</v>
      </c>
      <c r="O283" s="17">
        <v>4</v>
      </c>
      <c r="P283" s="19" t="s">
        <v>102</v>
      </c>
      <c r="Q283" s="17">
        <v>4</v>
      </c>
    </row>
    <row r="284" spans="2:17" ht="12.75">
      <c r="B284" s="8" t="s">
        <v>227</v>
      </c>
      <c r="D284" s="8" t="s">
        <v>264</v>
      </c>
      <c r="F284" s="19" t="s">
        <v>102</v>
      </c>
      <c r="G284" s="17">
        <v>4</v>
      </c>
      <c r="H284" s="19" t="s">
        <v>102</v>
      </c>
      <c r="I284" s="18">
        <v>4</v>
      </c>
      <c r="J284" s="19" t="s">
        <v>102</v>
      </c>
      <c r="K284" s="17">
        <v>4</v>
      </c>
      <c r="L284" s="19" t="s">
        <v>102</v>
      </c>
      <c r="M284" s="17">
        <v>4</v>
      </c>
      <c r="N284" s="19" t="s">
        <v>102</v>
      </c>
      <c r="O284" s="17">
        <v>4</v>
      </c>
      <c r="P284" s="19" t="s">
        <v>102</v>
      </c>
      <c r="Q284" s="17">
        <v>4</v>
      </c>
    </row>
    <row r="285" spans="2:17" ht="12.75">
      <c r="B285" s="8" t="s">
        <v>228</v>
      </c>
      <c r="D285" s="8" t="s">
        <v>264</v>
      </c>
      <c r="F285" s="19" t="s">
        <v>102</v>
      </c>
      <c r="G285" s="17">
        <v>4</v>
      </c>
      <c r="H285" s="19" t="s">
        <v>102</v>
      </c>
      <c r="I285" s="18">
        <v>4</v>
      </c>
      <c r="J285" s="19" t="s">
        <v>102</v>
      </c>
      <c r="K285" s="17">
        <v>4</v>
      </c>
      <c r="L285" s="19" t="s">
        <v>102</v>
      </c>
      <c r="M285" s="17">
        <v>4</v>
      </c>
      <c r="N285" s="19" t="s">
        <v>102</v>
      </c>
      <c r="O285" s="17">
        <v>4</v>
      </c>
      <c r="P285" s="19" t="s">
        <v>102</v>
      </c>
      <c r="Q285" s="17">
        <v>4</v>
      </c>
    </row>
    <row r="286" spans="2:17" ht="12.75">
      <c r="B286" s="8" t="s">
        <v>229</v>
      </c>
      <c r="D286" s="8" t="s">
        <v>264</v>
      </c>
      <c r="F286" s="19" t="s">
        <v>102</v>
      </c>
      <c r="G286" s="17">
        <v>4</v>
      </c>
      <c r="H286" s="19" t="s">
        <v>102</v>
      </c>
      <c r="I286" s="18">
        <v>4</v>
      </c>
      <c r="J286" s="19" t="s">
        <v>102</v>
      </c>
      <c r="K286" s="17">
        <v>4</v>
      </c>
      <c r="L286" s="19" t="s">
        <v>102</v>
      </c>
      <c r="M286" s="17">
        <v>4</v>
      </c>
      <c r="N286" s="19" t="s">
        <v>102</v>
      </c>
      <c r="O286" s="17">
        <v>4</v>
      </c>
      <c r="P286" s="19" t="s">
        <v>102</v>
      </c>
      <c r="Q286" s="17">
        <v>4</v>
      </c>
    </row>
    <row r="287" spans="2:17" ht="12.75">
      <c r="B287" s="8" t="s">
        <v>261</v>
      </c>
      <c r="D287" s="8" t="s">
        <v>264</v>
      </c>
      <c r="F287" s="19" t="s">
        <v>102</v>
      </c>
      <c r="G287" s="17">
        <v>4</v>
      </c>
      <c r="H287" s="19" t="s">
        <v>102</v>
      </c>
      <c r="I287" s="18">
        <v>4</v>
      </c>
      <c r="J287" s="19" t="s">
        <v>102</v>
      </c>
      <c r="K287" s="17">
        <v>4</v>
      </c>
      <c r="L287" s="19" t="s">
        <v>102</v>
      </c>
      <c r="M287" s="17">
        <v>4</v>
      </c>
      <c r="N287" s="19" t="s">
        <v>102</v>
      </c>
      <c r="O287" s="17">
        <v>4</v>
      </c>
      <c r="P287" s="19" t="s">
        <v>102</v>
      </c>
      <c r="Q287" s="17">
        <v>4</v>
      </c>
    </row>
    <row r="288" spans="2:17" ht="12.75">
      <c r="B288" s="8" t="s">
        <v>231</v>
      </c>
      <c r="D288" s="8" t="s">
        <v>264</v>
      </c>
      <c r="F288" s="19" t="s">
        <v>102</v>
      </c>
      <c r="G288" s="17">
        <v>4</v>
      </c>
      <c r="H288" s="19" t="s">
        <v>102</v>
      </c>
      <c r="I288" s="18">
        <v>4</v>
      </c>
      <c r="J288" s="19" t="s">
        <v>102</v>
      </c>
      <c r="K288" s="17">
        <v>4</v>
      </c>
      <c r="L288" s="19" t="s">
        <v>102</v>
      </c>
      <c r="M288" s="17">
        <v>4</v>
      </c>
      <c r="N288" s="19" t="s">
        <v>102</v>
      </c>
      <c r="O288" s="17">
        <v>4</v>
      </c>
      <c r="P288" s="19" t="s">
        <v>102</v>
      </c>
      <c r="Q288" s="17">
        <v>4</v>
      </c>
    </row>
    <row r="289" spans="2:17" ht="12.75">
      <c r="B289" s="8" t="s">
        <v>232</v>
      </c>
      <c r="D289" s="8" t="s">
        <v>264</v>
      </c>
      <c r="F289" s="19" t="s">
        <v>102</v>
      </c>
      <c r="G289" s="17">
        <v>4</v>
      </c>
      <c r="H289" s="19" t="s">
        <v>102</v>
      </c>
      <c r="I289" s="18">
        <v>4</v>
      </c>
      <c r="J289" s="19" t="s">
        <v>102</v>
      </c>
      <c r="K289" s="17">
        <v>4</v>
      </c>
      <c r="L289" s="19" t="s">
        <v>102</v>
      </c>
      <c r="M289" s="17">
        <v>4</v>
      </c>
      <c r="N289" s="19" t="s">
        <v>102</v>
      </c>
      <c r="O289" s="17">
        <v>4</v>
      </c>
      <c r="P289" s="19" t="s">
        <v>102</v>
      </c>
      <c r="Q289" s="17">
        <v>4</v>
      </c>
    </row>
    <row r="290" spans="2:17" ht="12.75">
      <c r="B290" s="8" t="s">
        <v>233</v>
      </c>
      <c r="D290" s="8" t="s">
        <v>264</v>
      </c>
      <c r="F290" s="19" t="s">
        <v>102</v>
      </c>
      <c r="G290" s="17">
        <v>20</v>
      </c>
      <c r="H290" s="19" t="s">
        <v>102</v>
      </c>
      <c r="I290" s="18">
        <v>20</v>
      </c>
      <c r="J290" s="19" t="s">
        <v>102</v>
      </c>
      <c r="K290" s="17">
        <v>20</v>
      </c>
      <c r="L290" s="19" t="s">
        <v>102</v>
      </c>
      <c r="M290" s="17">
        <v>20</v>
      </c>
      <c r="N290" s="19" t="s">
        <v>102</v>
      </c>
      <c r="O290" s="17">
        <v>20</v>
      </c>
      <c r="P290" s="19" t="s">
        <v>102</v>
      </c>
      <c r="Q290" s="17">
        <v>20</v>
      </c>
    </row>
    <row r="291" spans="2:17" ht="12.75">
      <c r="B291" s="8" t="s">
        <v>234</v>
      </c>
      <c r="D291" s="8" t="s">
        <v>264</v>
      </c>
      <c r="F291" s="19" t="s">
        <v>102</v>
      </c>
      <c r="G291" s="17">
        <v>8</v>
      </c>
      <c r="H291" s="19" t="s">
        <v>102</v>
      </c>
      <c r="I291" s="18">
        <v>8</v>
      </c>
      <c r="J291" s="19" t="s">
        <v>102</v>
      </c>
      <c r="K291" s="17">
        <v>8</v>
      </c>
      <c r="L291" s="19" t="s">
        <v>102</v>
      </c>
      <c r="M291" s="17">
        <v>8</v>
      </c>
      <c r="N291" s="19" t="s">
        <v>102</v>
      </c>
      <c r="O291" s="17">
        <v>8</v>
      </c>
      <c r="P291" s="19" t="s">
        <v>102</v>
      </c>
      <c r="Q291" s="17">
        <v>8</v>
      </c>
    </row>
    <row r="292" spans="2:17" ht="12.75">
      <c r="B292" s="8" t="s">
        <v>235</v>
      </c>
      <c r="D292" s="8" t="s">
        <v>264</v>
      </c>
      <c r="F292" s="19" t="s">
        <v>102</v>
      </c>
      <c r="G292" s="17">
        <v>4</v>
      </c>
      <c r="H292" s="19" t="s">
        <v>102</v>
      </c>
      <c r="I292" s="18">
        <v>4</v>
      </c>
      <c r="J292" s="19" t="s">
        <v>102</v>
      </c>
      <c r="K292" s="17">
        <v>4</v>
      </c>
      <c r="L292" s="19" t="s">
        <v>102</v>
      </c>
      <c r="M292" s="17">
        <v>4</v>
      </c>
      <c r="N292" s="19" t="s">
        <v>102</v>
      </c>
      <c r="O292" s="17">
        <v>4</v>
      </c>
      <c r="P292" s="19" t="s">
        <v>102</v>
      </c>
      <c r="Q292" s="17">
        <v>4</v>
      </c>
    </row>
    <row r="293" spans="2:17" ht="12.75">
      <c r="B293" s="8" t="s">
        <v>230</v>
      </c>
      <c r="D293" s="8" t="s">
        <v>264</v>
      </c>
      <c r="F293" s="19" t="s">
        <v>102</v>
      </c>
      <c r="G293" s="17">
        <v>4</v>
      </c>
      <c r="H293" s="19" t="s">
        <v>102</v>
      </c>
      <c r="I293" s="18">
        <v>4</v>
      </c>
      <c r="J293" s="19" t="s">
        <v>102</v>
      </c>
      <c r="K293" s="17">
        <v>4</v>
      </c>
      <c r="L293" s="19" t="s">
        <v>102</v>
      </c>
      <c r="M293" s="17">
        <v>4</v>
      </c>
      <c r="N293" s="19" t="s">
        <v>102</v>
      </c>
      <c r="O293" s="17">
        <v>4</v>
      </c>
      <c r="P293" s="19" t="s">
        <v>102</v>
      </c>
      <c r="Q293" s="17">
        <v>4</v>
      </c>
    </row>
    <row r="294" spans="2:17" ht="12.75">
      <c r="B294" s="8" t="s">
        <v>236</v>
      </c>
      <c r="D294" s="8" t="s">
        <v>264</v>
      </c>
      <c r="F294" s="19" t="s">
        <v>102</v>
      </c>
      <c r="G294" s="17">
        <v>4</v>
      </c>
      <c r="H294" s="19" t="s">
        <v>102</v>
      </c>
      <c r="I294" s="18">
        <v>4</v>
      </c>
      <c r="J294" s="19" t="s">
        <v>102</v>
      </c>
      <c r="K294" s="17">
        <v>4</v>
      </c>
      <c r="L294" s="19" t="s">
        <v>102</v>
      </c>
      <c r="M294" s="17">
        <v>4</v>
      </c>
      <c r="N294" s="19" t="s">
        <v>102</v>
      </c>
      <c r="O294" s="17">
        <v>4</v>
      </c>
      <c r="P294" s="19" t="s">
        <v>102</v>
      </c>
      <c r="Q294" s="17">
        <v>4</v>
      </c>
    </row>
    <row r="295" spans="2:17" ht="12.75">
      <c r="B295" s="8" t="s">
        <v>237</v>
      </c>
      <c r="D295" s="8" t="s">
        <v>264</v>
      </c>
      <c r="F295" s="19" t="s">
        <v>102</v>
      </c>
      <c r="G295" s="17">
        <v>4</v>
      </c>
      <c r="H295" s="19" t="s">
        <v>102</v>
      </c>
      <c r="I295" s="18">
        <v>4</v>
      </c>
      <c r="J295" s="19" t="s">
        <v>102</v>
      </c>
      <c r="K295" s="17">
        <v>4</v>
      </c>
      <c r="L295" s="19" t="s">
        <v>102</v>
      </c>
      <c r="M295" s="17">
        <v>4</v>
      </c>
      <c r="N295" s="19" t="s">
        <v>102</v>
      </c>
      <c r="O295" s="17">
        <v>4</v>
      </c>
      <c r="P295" s="19" t="s">
        <v>102</v>
      </c>
      <c r="Q295" s="17">
        <v>4</v>
      </c>
    </row>
    <row r="296" spans="2:17" ht="12.75">
      <c r="B296" s="8" t="s">
        <v>238</v>
      </c>
      <c r="D296" s="8" t="s">
        <v>264</v>
      </c>
      <c r="F296" s="19" t="s">
        <v>102</v>
      </c>
      <c r="G296" s="17">
        <v>4</v>
      </c>
      <c r="H296" s="19" t="s">
        <v>102</v>
      </c>
      <c r="I296" s="18">
        <v>4</v>
      </c>
      <c r="J296" s="19" t="s">
        <v>102</v>
      </c>
      <c r="K296" s="17">
        <v>4</v>
      </c>
      <c r="L296" s="19" t="s">
        <v>102</v>
      </c>
      <c r="M296" s="17">
        <v>4</v>
      </c>
      <c r="N296" s="19" t="s">
        <v>102</v>
      </c>
      <c r="O296" s="17">
        <v>4</v>
      </c>
      <c r="P296" s="19" t="s">
        <v>102</v>
      </c>
      <c r="Q296" s="17">
        <v>4</v>
      </c>
    </row>
    <row r="297" spans="2:17" ht="12.75">
      <c r="B297" s="8" t="s">
        <v>239</v>
      </c>
      <c r="D297" s="8" t="s">
        <v>264</v>
      </c>
      <c r="F297" s="19" t="s">
        <v>102</v>
      </c>
      <c r="G297" s="17">
        <v>4</v>
      </c>
      <c r="H297" s="19" t="s">
        <v>102</v>
      </c>
      <c r="I297" s="18">
        <v>4</v>
      </c>
      <c r="J297" s="19" t="s">
        <v>102</v>
      </c>
      <c r="K297" s="17">
        <v>4</v>
      </c>
      <c r="L297" s="19" t="s">
        <v>102</v>
      </c>
      <c r="M297" s="17">
        <v>4</v>
      </c>
      <c r="N297" s="19" t="s">
        <v>102</v>
      </c>
      <c r="O297" s="17">
        <v>4</v>
      </c>
      <c r="P297" s="19" t="s">
        <v>102</v>
      </c>
      <c r="Q297" s="17">
        <v>4</v>
      </c>
    </row>
    <row r="298" spans="2:17" ht="12.75">
      <c r="B298" s="8" t="s">
        <v>240</v>
      </c>
      <c r="D298" s="8" t="s">
        <v>264</v>
      </c>
      <c r="F298" s="19" t="s">
        <v>102</v>
      </c>
      <c r="G298" s="17">
        <v>8</v>
      </c>
      <c r="H298" s="19" t="s">
        <v>102</v>
      </c>
      <c r="I298" s="18">
        <v>8</v>
      </c>
      <c r="J298" s="19" t="s">
        <v>102</v>
      </c>
      <c r="K298" s="17">
        <v>8</v>
      </c>
      <c r="L298" s="19" t="s">
        <v>102</v>
      </c>
      <c r="M298" s="17">
        <v>8</v>
      </c>
      <c r="N298" s="19" t="s">
        <v>102</v>
      </c>
      <c r="O298" s="17">
        <v>8</v>
      </c>
      <c r="P298" s="19" t="s">
        <v>102</v>
      </c>
      <c r="Q298" s="17">
        <v>8</v>
      </c>
    </row>
    <row r="299" spans="2:17" ht="12.75">
      <c r="B299" s="8" t="s">
        <v>241</v>
      </c>
      <c r="D299" s="8" t="s">
        <v>264</v>
      </c>
      <c r="F299" s="19" t="s">
        <v>102</v>
      </c>
      <c r="G299" s="17">
        <v>4</v>
      </c>
      <c r="H299" s="19" t="s">
        <v>102</v>
      </c>
      <c r="I299" s="18">
        <v>4</v>
      </c>
      <c r="J299" s="19" t="s">
        <v>102</v>
      </c>
      <c r="K299" s="17">
        <v>4</v>
      </c>
      <c r="L299" s="19" t="s">
        <v>102</v>
      </c>
      <c r="M299" s="17">
        <v>4</v>
      </c>
      <c r="N299" s="19" t="s">
        <v>102</v>
      </c>
      <c r="O299" s="17">
        <v>4</v>
      </c>
      <c r="P299" s="19" t="s">
        <v>102</v>
      </c>
      <c r="Q299" s="17">
        <v>4</v>
      </c>
    </row>
    <row r="300" spans="2:17" ht="12.75">
      <c r="B300" s="8" t="s">
        <v>242</v>
      </c>
      <c r="D300" s="8" t="s">
        <v>264</v>
      </c>
      <c r="F300" s="19" t="s">
        <v>102</v>
      </c>
      <c r="G300" s="17">
        <v>4</v>
      </c>
      <c r="H300" s="19" t="s">
        <v>102</v>
      </c>
      <c r="I300" s="18">
        <v>4</v>
      </c>
      <c r="J300" s="19" t="s">
        <v>102</v>
      </c>
      <c r="K300" s="17">
        <v>4</v>
      </c>
      <c r="L300" s="19" t="s">
        <v>102</v>
      </c>
      <c r="M300" s="17">
        <v>4</v>
      </c>
      <c r="N300" s="19" t="s">
        <v>102</v>
      </c>
      <c r="O300" s="17">
        <v>4</v>
      </c>
      <c r="P300" s="19" t="s">
        <v>102</v>
      </c>
      <c r="Q300" s="17">
        <v>4</v>
      </c>
    </row>
    <row r="301" spans="2:17" ht="12.75">
      <c r="B301" s="8" t="s">
        <v>243</v>
      </c>
      <c r="D301" s="8" t="s">
        <v>264</v>
      </c>
      <c r="F301" s="19" t="s">
        <v>102</v>
      </c>
      <c r="G301" s="17">
        <v>4</v>
      </c>
      <c r="H301" s="19" t="s">
        <v>102</v>
      </c>
      <c r="I301" s="18">
        <v>4</v>
      </c>
      <c r="J301" s="19" t="s">
        <v>102</v>
      </c>
      <c r="K301" s="17">
        <v>4</v>
      </c>
      <c r="L301" s="19" t="s">
        <v>102</v>
      </c>
      <c r="M301" s="17">
        <v>4</v>
      </c>
      <c r="N301" s="19" t="s">
        <v>102</v>
      </c>
      <c r="O301" s="17">
        <v>4</v>
      </c>
      <c r="P301" s="19" t="s">
        <v>102</v>
      </c>
      <c r="Q301" s="17">
        <v>4</v>
      </c>
    </row>
    <row r="302" spans="2:17" ht="12.75">
      <c r="B302" s="8" t="s">
        <v>244</v>
      </c>
      <c r="D302" s="8" t="s">
        <v>264</v>
      </c>
      <c r="F302" s="19" t="s">
        <v>102</v>
      </c>
      <c r="G302" s="17">
        <v>4</v>
      </c>
      <c r="H302" s="19" t="s">
        <v>102</v>
      </c>
      <c r="I302" s="18">
        <v>4</v>
      </c>
      <c r="J302" s="19" t="s">
        <v>102</v>
      </c>
      <c r="K302" s="17">
        <v>4</v>
      </c>
      <c r="L302" s="19" t="s">
        <v>102</v>
      </c>
      <c r="M302" s="17">
        <v>4</v>
      </c>
      <c r="N302" s="19" t="s">
        <v>102</v>
      </c>
      <c r="O302" s="17">
        <v>4</v>
      </c>
      <c r="P302" s="19" t="s">
        <v>102</v>
      </c>
      <c r="Q302" s="17">
        <v>4</v>
      </c>
    </row>
    <row r="303" spans="2:17" ht="12.75">
      <c r="B303" s="8" t="s">
        <v>245</v>
      </c>
      <c r="D303" s="8" t="s">
        <v>264</v>
      </c>
      <c r="F303" s="19" t="s">
        <v>102</v>
      </c>
      <c r="G303" s="17">
        <v>8</v>
      </c>
      <c r="H303" s="19" t="s">
        <v>102</v>
      </c>
      <c r="I303" s="18">
        <v>8</v>
      </c>
      <c r="J303" s="19" t="s">
        <v>102</v>
      </c>
      <c r="K303" s="17">
        <v>8</v>
      </c>
      <c r="L303" s="19" t="s">
        <v>102</v>
      </c>
      <c r="M303" s="17">
        <v>8</v>
      </c>
      <c r="N303" s="19" t="s">
        <v>102</v>
      </c>
      <c r="O303" s="17">
        <v>8</v>
      </c>
      <c r="P303" s="19" t="s">
        <v>102</v>
      </c>
      <c r="Q303" s="17">
        <v>8</v>
      </c>
    </row>
    <row r="304" spans="2:17" ht="12.75">
      <c r="B304" s="8" t="s">
        <v>246</v>
      </c>
      <c r="D304" s="8" t="s">
        <v>264</v>
      </c>
      <c r="F304" s="19" t="s">
        <v>102</v>
      </c>
      <c r="G304" s="17">
        <v>4</v>
      </c>
      <c r="H304" s="19" t="s">
        <v>102</v>
      </c>
      <c r="I304" s="18">
        <v>4</v>
      </c>
      <c r="J304" s="19" t="s">
        <v>102</v>
      </c>
      <c r="K304" s="17">
        <v>4</v>
      </c>
      <c r="L304" s="19" t="s">
        <v>102</v>
      </c>
      <c r="M304" s="17">
        <v>4</v>
      </c>
      <c r="N304" s="19" t="s">
        <v>102</v>
      </c>
      <c r="O304" s="17">
        <v>4</v>
      </c>
      <c r="P304" s="19" t="s">
        <v>102</v>
      </c>
      <c r="Q304" s="17">
        <v>4</v>
      </c>
    </row>
    <row r="305" spans="2:17" ht="12.75">
      <c r="B305" s="8" t="s">
        <v>247</v>
      </c>
      <c r="D305" s="8" t="s">
        <v>264</v>
      </c>
      <c r="F305" s="19" t="s">
        <v>102</v>
      </c>
      <c r="G305" s="17">
        <v>4</v>
      </c>
      <c r="H305" s="19" t="s">
        <v>102</v>
      </c>
      <c r="I305" s="18">
        <v>4</v>
      </c>
      <c r="J305" s="19" t="s">
        <v>102</v>
      </c>
      <c r="K305" s="17">
        <v>4</v>
      </c>
      <c r="L305" s="19" t="s">
        <v>102</v>
      </c>
      <c r="M305" s="17">
        <v>4</v>
      </c>
      <c r="N305" s="19" t="s">
        <v>102</v>
      </c>
      <c r="O305" s="17">
        <v>4</v>
      </c>
      <c r="P305" s="19" t="s">
        <v>102</v>
      </c>
      <c r="Q305" s="17">
        <v>4</v>
      </c>
    </row>
    <row r="306" spans="2:17" ht="12.75">
      <c r="B306" s="8" t="s">
        <v>248</v>
      </c>
      <c r="D306" s="8" t="s">
        <v>264</v>
      </c>
      <c r="F306" s="19" t="s">
        <v>102</v>
      </c>
      <c r="G306" s="17">
        <v>4</v>
      </c>
      <c r="H306" s="19" t="s">
        <v>102</v>
      </c>
      <c r="I306" s="18">
        <v>4</v>
      </c>
      <c r="J306" s="19" t="s">
        <v>102</v>
      </c>
      <c r="K306" s="17">
        <v>4</v>
      </c>
      <c r="L306" s="19" t="s">
        <v>102</v>
      </c>
      <c r="M306" s="17">
        <v>4</v>
      </c>
      <c r="N306" s="19" t="s">
        <v>102</v>
      </c>
      <c r="O306" s="17">
        <v>4</v>
      </c>
      <c r="P306" s="19" t="s">
        <v>102</v>
      </c>
      <c r="Q306" s="17">
        <v>4</v>
      </c>
    </row>
    <row r="307" spans="2:17" ht="12.75">
      <c r="B307" s="8" t="s">
        <v>249</v>
      </c>
      <c r="D307" s="8" t="s">
        <v>264</v>
      </c>
      <c r="F307" s="19" t="s">
        <v>102</v>
      </c>
      <c r="G307" s="17">
        <v>4</v>
      </c>
      <c r="H307" s="19" t="s">
        <v>102</v>
      </c>
      <c r="I307" s="18">
        <v>4</v>
      </c>
      <c r="J307" s="19" t="s">
        <v>102</v>
      </c>
      <c r="K307" s="17">
        <v>4</v>
      </c>
      <c r="L307" s="19" t="s">
        <v>102</v>
      </c>
      <c r="M307" s="17">
        <v>4</v>
      </c>
      <c r="N307" s="19" t="s">
        <v>102</v>
      </c>
      <c r="O307" s="17">
        <v>4</v>
      </c>
      <c r="P307" s="19" t="s">
        <v>102</v>
      </c>
      <c r="Q307" s="17">
        <v>4</v>
      </c>
    </row>
    <row r="308" spans="2:17" ht="12.75">
      <c r="B308" s="8" t="s">
        <v>250</v>
      </c>
      <c r="D308" s="8" t="s">
        <v>264</v>
      </c>
      <c r="F308" s="19" t="s">
        <v>102</v>
      </c>
      <c r="G308" s="17">
        <v>4</v>
      </c>
      <c r="H308" s="19" t="s">
        <v>102</v>
      </c>
      <c r="I308" s="18">
        <v>4</v>
      </c>
      <c r="J308" s="19" t="s">
        <v>102</v>
      </c>
      <c r="K308" s="17">
        <v>4</v>
      </c>
      <c r="L308" s="19" t="s">
        <v>102</v>
      </c>
      <c r="M308" s="17">
        <v>4</v>
      </c>
      <c r="N308" s="19" t="s">
        <v>102</v>
      </c>
      <c r="O308" s="17">
        <v>4</v>
      </c>
      <c r="P308" s="19" t="s">
        <v>102</v>
      </c>
      <c r="Q308" s="17">
        <v>4</v>
      </c>
    </row>
    <row r="309" spans="2:17" ht="12.75">
      <c r="B309" s="8" t="s">
        <v>251</v>
      </c>
      <c r="D309" s="8" t="s">
        <v>264</v>
      </c>
      <c r="F309" s="19" t="s">
        <v>102</v>
      </c>
      <c r="G309" s="17">
        <v>4</v>
      </c>
      <c r="H309" s="19" t="s">
        <v>102</v>
      </c>
      <c r="I309" s="18">
        <v>4</v>
      </c>
      <c r="J309" s="19" t="s">
        <v>102</v>
      </c>
      <c r="K309" s="17">
        <v>4</v>
      </c>
      <c r="L309" s="19" t="s">
        <v>102</v>
      </c>
      <c r="M309" s="17">
        <v>4</v>
      </c>
      <c r="N309" s="19" t="s">
        <v>102</v>
      </c>
      <c r="O309" s="17">
        <v>4</v>
      </c>
      <c r="P309" s="19" t="s">
        <v>102</v>
      </c>
      <c r="Q309" s="17">
        <v>4</v>
      </c>
    </row>
    <row r="310" spans="2:17" ht="12.75">
      <c r="B310" s="8" t="s">
        <v>252</v>
      </c>
      <c r="D310" s="8" t="s">
        <v>264</v>
      </c>
      <c r="F310" s="19" t="s">
        <v>102</v>
      </c>
      <c r="G310" s="17">
        <v>4</v>
      </c>
      <c r="H310" s="19" t="s">
        <v>102</v>
      </c>
      <c r="I310" s="18">
        <v>4</v>
      </c>
      <c r="J310" s="19" t="s">
        <v>102</v>
      </c>
      <c r="K310" s="17">
        <v>4</v>
      </c>
      <c r="L310" s="19" t="s">
        <v>102</v>
      </c>
      <c r="M310" s="17">
        <v>4</v>
      </c>
      <c r="N310" s="19" t="s">
        <v>102</v>
      </c>
      <c r="O310" s="17">
        <v>4</v>
      </c>
      <c r="P310" s="19" t="s">
        <v>102</v>
      </c>
      <c r="Q310" s="17">
        <v>4</v>
      </c>
    </row>
    <row r="311" spans="2:17" ht="12.75">
      <c r="B311" s="8" t="s">
        <v>253</v>
      </c>
      <c r="D311" s="8" t="s">
        <v>264</v>
      </c>
      <c r="G311" s="17">
        <v>2300</v>
      </c>
      <c r="I311" s="18">
        <v>5.8</v>
      </c>
      <c r="K311" s="17">
        <v>42</v>
      </c>
      <c r="M311" s="17">
        <v>7</v>
      </c>
      <c r="O311" s="17">
        <v>7.8</v>
      </c>
      <c r="Q311" s="17">
        <v>12</v>
      </c>
    </row>
    <row r="312" spans="2:17" ht="12.75">
      <c r="B312" s="8" t="s">
        <v>254</v>
      </c>
      <c r="D312" s="8" t="s">
        <v>264</v>
      </c>
      <c r="F312" s="19" t="s">
        <v>102</v>
      </c>
      <c r="G312" s="17">
        <v>4</v>
      </c>
      <c r="H312" s="19" t="s">
        <v>102</v>
      </c>
      <c r="I312" s="18">
        <v>4</v>
      </c>
      <c r="J312" s="19" t="s">
        <v>102</v>
      </c>
      <c r="K312" s="17">
        <v>4</v>
      </c>
      <c r="L312" s="19" t="s">
        <v>102</v>
      </c>
      <c r="M312" s="17">
        <v>4</v>
      </c>
      <c r="N312" s="19" t="s">
        <v>102</v>
      </c>
      <c r="O312" s="17">
        <v>4</v>
      </c>
      <c r="P312" s="19" t="s">
        <v>102</v>
      </c>
      <c r="Q312" s="17">
        <v>4</v>
      </c>
    </row>
    <row r="313" spans="2:17" ht="12.75">
      <c r="B313" s="8" t="s">
        <v>255</v>
      </c>
      <c r="D313" s="8" t="s">
        <v>264</v>
      </c>
      <c r="F313" s="19" t="s">
        <v>102</v>
      </c>
      <c r="G313" s="17">
        <v>4</v>
      </c>
      <c r="H313" s="19" t="s">
        <v>102</v>
      </c>
      <c r="I313" s="18">
        <v>4</v>
      </c>
      <c r="J313" s="19" t="s">
        <v>102</v>
      </c>
      <c r="K313" s="17">
        <v>4</v>
      </c>
      <c r="L313" s="19" t="s">
        <v>102</v>
      </c>
      <c r="M313" s="17">
        <v>4</v>
      </c>
      <c r="N313" s="19" t="s">
        <v>102</v>
      </c>
      <c r="O313" s="17">
        <v>4</v>
      </c>
      <c r="P313" s="19" t="s">
        <v>102</v>
      </c>
      <c r="Q313" s="17">
        <v>4</v>
      </c>
    </row>
    <row r="314" spans="2:17" ht="12.75">
      <c r="B314" s="8" t="s">
        <v>256</v>
      </c>
      <c r="D314" s="8" t="s">
        <v>264</v>
      </c>
      <c r="F314" s="19" t="s">
        <v>102</v>
      </c>
      <c r="G314" s="17">
        <v>4</v>
      </c>
      <c r="H314" s="19" t="s">
        <v>102</v>
      </c>
      <c r="I314" s="18">
        <v>4</v>
      </c>
      <c r="J314" s="19" t="s">
        <v>102</v>
      </c>
      <c r="K314" s="17">
        <v>4</v>
      </c>
      <c r="L314" s="19" t="s">
        <v>102</v>
      </c>
      <c r="M314" s="17">
        <v>4</v>
      </c>
      <c r="N314" s="19" t="s">
        <v>102</v>
      </c>
      <c r="O314" s="17">
        <v>4</v>
      </c>
      <c r="P314" s="19" t="s">
        <v>102</v>
      </c>
      <c r="Q314" s="17">
        <v>4</v>
      </c>
    </row>
    <row r="315" spans="2:17" ht="12.75">
      <c r="B315" s="8" t="s">
        <v>257</v>
      </c>
      <c r="D315" s="8" t="s">
        <v>264</v>
      </c>
      <c r="F315" s="19" t="s">
        <v>102</v>
      </c>
      <c r="G315" s="17">
        <v>4</v>
      </c>
      <c r="H315" s="19" t="s">
        <v>102</v>
      </c>
      <c r="I315" s="18">
        <v>4</v>
      </c>
      <c r="J315" s="19" t="s">
        <v>102</v>
      </c>
      <c r="K315" s="17">
        <v>4</v>
      </c>
      <c r="L315" s="19" t="s">
        <v>102</v>
      </c>
      <c r="M315" s="17">
        <v>4</v>
      </c>
      <c r="N315" s="19" t="s">
        <v>102</v>
      </c>
      <c r="O315" s="17">
        <v>4</v>
      </c>
      <c r="P315" s="19" t="s">
        <v>102</v>
      </c>
      <c r="Q315" s="17">
        <v>4</v>
      </c>
    </row>
    <row r="316" spans="2:17" ht="12.75">
      <c r="B316" s="8" t="s">
        <v>258</v>
      </c>
      <c r="D316" s="8" t="s">
        <v>264</v>
      </c>
      <c r="F316" s="19" t="s">
        <v>102</v>
      </c>
      <c r="G316" s="17">
        <v>4</v>
      </c>
      <c r="H316" s="19" t="s">
        <v>102</v>
      </c>
      <c r="I316" s="18">
        <v>4</v>
      </c>
      <c r="J316" s="19" t="s">
        <v>102</v>
      </c>
      <c r="K316" s="17">
        <v>4</v>
      </c>
      <c r="L316" s="19" t="s">
        <v>102</v>
      </c>
      <c r="M316" s="17">
        <v>4</v>
      </c>
      <c r="N316" s="19" t="s">
        <v>102</v>
      </c>
      <c r="O316" s="17">
        <v>4</v>
      </c>
      <c r="P316" s="19" t="s">
        <v>102</v>
      </c>
      <c r="Q316" s="17">
        <v>4</v>
      </c>
    </row>
    <row r="317" spans="2:17" ht="12.75">
      <c r="B317" s="8" t="s">
        <v>259</v>
      </c>
      <c r="D317" s="8" t="s">
        <v>264</v>
      </c>
      <c r="F317" s="19" t="s">
        <v>102</v>
      </c>
      <c r="G317" s="17">
        <v>4</v>
      </c>
      <c r="H317" s="19" t="s">
        <v>102</v>
      </c>
      <c r="I317" s="18">
        <v>4</v>
      </c>
      <c r="J317" s="19" t="s">
        <v>102</v>
      </c>
      <c r="K317" s="17">
        <v>4</v>
      </c>
      <c r="L317" s="19" t="s">
        <v>102</v>
      </c>
      <c r="M317" s="17">
        <v>4</v>
      </c>
      <c r="N317" s="19" t="s">
        <v>102</v>
      </c>
      <c r="O317" s="17">
        <v>4</v>
      </c>
      <c r="P317" s="19" t="s">
        <v>102</v>
      </c>
      <c r="Q317" s="17">
        <v>4</v>
      </c>
    </row>
    <row r="318" spans="2:17" ht="12.75">
      <c r="B318" s="8" t="s">
        <v>260</v>
      </c>
      <c r="D318" s="8" t="s">
        <v>264</v>
      </c>
      <c r="F318" s="19" t="s">
        <v>102</v>
      </c>
      <c r="G318" s="17">
        <v>4</v>
      </c>
      <c r="H318" s="19" t="s">
        <v>102</v>
      </c>
      <c r="I318" s="18">
        <v>4</v>
      </c>
      <c r="J318" s="19" t="s">
        <v>102</v>
      </c>
      <c r="K318" s="17">
        <v>4</v>
      </c>
      <c r="L318" s="19" t="s">
        <v>102</v>
      </c>
      <c r="M318" s="17">
        <v>4</v>
      </c>
      <c r="N318" s="19" t="s">
        <v>102</v>
      </c>
      <c r="O318" s="17">
        <v>4</v>
      </c>
      <c r="P318" s="19" t="s">
        <v>102</v>
      </c>
      <c r="Q318" s="17">
        <v>4</v>
      </c>
    </row>
    <row r="321" spans="2:19" ht="12.75">
      <c r="B321" s="8" t="s">
        <v>199</v>
      </c>
      <c r="C321" s="17" t="s">
        <v>432</v>
      </c>
      <c r="D321" s="8" t="s">
        <v>57</v>
      </c>
      <c r="E321" s="8" t="s">
        <v>15</v>
      </c>
      <c r="G321" s="5">
        <f aca="true" t="shared" si="20" ref="G321:G352">G256/G$239/0.028317*(21-7)/(21-G$241)</f>
        <v>3.121803906997633</v>
      </c>
      <c r="H321" s="19" t="s">
        <v>102</v>
      </c>
      <c r="I321" s="5">
        <f aca="true" t="shared" si="21" ref="I321:I352">I256/I$239/0.028317*(21-7)/(21-I$241)</f>
        <v>2.1490663604287477</v>
      </c>
      <c r="J321" s="19" t="s">
        <v>102</v>
      </c>
      <c r="K321" s="5">
        <f aca="true" t="shared" si="22" ref="K321:K352">K256/K$239/0.028317*(21-7)/(21-K$241)</f>
        <v>2.1307857807815074</v>
      </c>
      <c r="L321" s="19" t="s">
        <v>102</v>
      </c>
      <c r="M321" s="5">
        <f aca="true" t="shared" si="23" ref="M321:M352">M256/M$239/0.028317*(21-7)/(21-M$241)</f>
        <v>2.2645992033570774</v>
      </c>
      <c r="N321" s="19" t="s">
        <v>102</v>
      </c>
      <c r="O321" s="5">
        <f aca="true" t="shared" si="24" ref="O321:O352">O256/O$239/0.028317*(21-7)/(21-O$241)</f>
        <v>2.222166738686912</v>
      </c>
      <c r="P321" s="19" t="s">
        <v>102</v>
      </c>
      <c r="Q321" s="5">
        <f aca="true" t="shared" si="25" ref="Q321:Q352">Q256/Q$239/0.028317*(21-7)/(21-Q$241)</f>
        <v>2.203855079247089</v>
      </c>
      <c r="S321" s="56">
        <f>AVERAGE(G321,I321,K321,M321,O321,Q321)</f>
        <v>2.3487128449164945</v>
      </c>
    </row>
    <row r="322" spans="2:19" ht="12.75">
      <c r="B322" s="8" t="s">
        <v>200</v>
      </c>
      <c r="C322" s="17" t="s">
        <v>432</v>
      </c>
      <c r="D322" s="8" t="s">
        <v>57</v>
      </c>
      <c r="E322" s="8" t="s">
        <v>15</v>
      </c>
      <c r="F322" s="19" t="s">
        <v>102</v>
      </c>
      <c r="G322" s="5">
        <f t="shared" si="20"/>
        <v>2.4484736525471633</v>
      </c>
      <c r="H322" s="19" t="s">
        <v>102</v>
      </c>
      <c r="I322" s="5">
        <f t="shared" si="21"/>
        <v>2.1490663604287477</v>
      </c>
      <c r="J322" s="19" t="s">
        <v>102</v>
      </c>
      <c r="K322" s="5">
        <f t="shared" si="22"/>
        <v>2.1307857807815074</v>
      </c>
      <c r="L322" s="19" t="s">
        <v>102</v>
      </c>
      <c r="M322" s="5">
        <f t="shared" si="23"/>
        <v>2.2645992033570774</v>
      </c>
      <c r="N322" s="19" t="s">
        <v>102</v>
      </c>
      <c r="O322" s="5">
        <f t="shared" si="24"/>
        <v>2.222166738686912</v>
      </c>
      <c r="P322" s="19" t="s">
        <v>102</v>
      </c>
      <c r="Q322" s="5">
        <f t="shared" si="25"/>
        <v>2.203855079247089</v>
      </c>
      <c r="S322" s="56">
        <f aca="true" t="shared" si="26" ref="S322:S383">AVERAGE(G322,I322,K322,M322,O322,Q322)</f>
        <v>2.236491135841416</v>
      </c>
    </row>
    <row r="323" spans="2:19" ht="12.75">
      <c r="B323" s="8" t="s">
        <v>201</v>
      </c>
      <c r="C323" s="17" t="s">
        <v>432</v>
      </c>
      <c r="D323" s="8" t="s">
        <v>57</v>
      </c>
      <c r="E323" s="8" t="s">
        <v>15</v>
      </c>
      <c r="F323" s="19" t="s">
        <v>102</v>
      </c>
      <c r="G323" s="5">
        <f t="shared" si="20"/>
        <v>2.4484736525471633</v>
      </c>
      <c r="H323" s="19" t="s">
        <v>102</v>
      </c>
      <c r="I323" s="5">
        <f t="shared" si="21"/>
        <v>2.1490663604287477</v>
      </c>
      <c r="J323" s="19" t="s">
        <v>102</v>
      </c>
      <c r="K323" s="5">
        <f t="shared" si="22"/>
        <v>2.1307857807815074</v>
      </c>
      <c r="L323" s="19" t="s">
        <v>102</v>
      </c>
      <c r="M323" s="5">
        <f t="shared" si="23"/>
        <v>2.2645992033570774</v>
      </c>
      <c r="N323" s="19" t="s">
        <v>102</v>
      </c>
      <c r="O323" s="5">
        <f t="shared" si="24"/>
        <v>2.222166738686912</v>
      </c>
      <c r="P323" s="19" t="s">
        <v>102</v>
      </c>
      <c r="Q323" s="5">
        <f t="shared" si="25"/>
        <v>2.203855079247089</v>
      </c>
      <c r="S323" s="56">
        <f t="shared" si="26"/>
        <v>2.236491135841416</v>
      </c>
    </row>
    <row r="324" spans="2:19" ht="12.75">
      <c r="B324" s="8" t="s">
        <v>202</v>
      </c>
      <c r="C324" s="17" t="s">
        <v>432</v>
      </c>
      <c r="D324" s="8" t="s">
        <v>57</v>
      </c>
      <c r="E324" s="8" t="s">
        <v>15</v>
      </c>
      <c r="F324" s="19" t="s">
        <v>102</v>
      </c>
      <c r="G324" s="5">
        <f t="shared" si="20"/>
        <v>2.4484736525471633</v>
      </c>
      <c r="H324" s="19" t="s">
        <v>102</v>
      </c>
      <c r="I324" s="5">
        <f t="shared" si="21"/>
        <v>2.1490663604287477</v>
      </c>
      <c r="J324" s="19" t="s">
        <v>102</v>
      </c>
      <c r="K324" s="5">
        <f t="shared" si="22"/>
        <v>2.1307857807815074</v>
      </c>
      <c r="L324" s="19" t="s">
        <v>102</v>
      </c>
      <c r="M324" s="5">
        <f t="shared" si="23"/>
        <v>2.2645992033570774</v>
      </c>
      <c r="N324" s="19" t="s">
        <v>102</v>
      </c>
      <c r="O324" s="5">
        <f t="shared" si="24"/>
        <v>2.222166738686912</v>
      </c>
      <c r="P324" s="19" t="s">
        <v>102</v>
      </c>
      <c r="Q324" s="5">
        <f t="shared" si="25"/>
        <v>2.203855079247089</v>
      </c>
      <c r="S324" s="56">
        <f t="shared" si="26"/>
        <v>2.236491135841416</v>
      </c>
    </row>
    <row r="325" spans="2:19" ht="12.75">
      <c r="B325" s="8" t="s">
        <v>203</v>
      </c>
      <c r="C325" s="17" t="s">
        <v>432</v>
      </c>
      <c r="D325" s="8" t="s">
        <v>57</v>
      </c>
      <c r="E325" s="8" t="s">
        <v>15</v>
      </c>
      <c r="F325" s="19" t="s">
        <v>102</v>
      </c>
      <c r="G325" s="5">
        <f t="shared" si="20"/>
        <v>2.4484736525471633</v>
      </c>
      <c r="H325" s="19" t="s">
        <v>102</v>
      </c>
      <c r="I325" s="5">
        <f t="shared" si="21"/>
        <v>2.1490663604287477</v>
      </c>
      <c r="J325" s="19" t="s">
        <v>102</v>
      </c>
      <c r="K325" s="5">
        <f t="shared" si="22"/>
        <v>2.1307857807815074</v>
      </c>
      <c r="L325" s="19" t="s">
        <v>102</v>
      </c>
      <c r="M325" s="5">
        <f t="shared" si="23"/>
        <v>2.2645992033570774</v>
      </c>
      <c r="N325" s="19" t="s">
        <v>102</v>
      </c>
      <c r="O325" s="5">
        <f t="shared" si="24"/>
        <v>2.222166738686912</v>
      </c>
      <c r="P325" s="19" t="s">
        <v>102</v>
      </c>
      <c r="Q325" s="5">
        <f t="shared" si="25"/>
        <v>2.203855079247089</v>
      </c>
      <c r="S325" s="56">
        <f t="shared" si="26"/>
        <v>2.236491135841416</v>
      </c>
    </row>
    <row r="326" spans="2:19" ht="12.75">
      <c r="B326" s="8" t="s">
        <v>204</v>
      </c>
      <c r="C326" s="17" t="s">
        <v>432</v>
      </c>
      <c r="D326" s="8" t="s">
        <v>57</v>
      </c>
      <c r="E326" s="8" t="s">
        <v>15</v>
      </c>
      <c r="F326" s="19" t="s">
        <v>102</v>
      </c>
      <c r="G326" s="5">
        <f t="shared" si="20"/>
        <v>2.4484736525471633</v>
      </c>
      <c r="H326" s="19" t="s">
        <v>102</v>
      </c>
      <c r="I326" s="5">
        <f t="shared" si="21"/>
        <v>2.1490663604287477</v>
      </c>
      <c r="J326" s="19" t="s">
        <v>102</v>
      </c>
      <c r="K326" s="5">
        <f t="shared" si="22"/>
        <v>2.1307857807815074</v>
      </c>
      <c r="L326" s="19" t="s">
        <v>102</v>
      </c>
      <c r="M326" s="5">
        <f t="shared" si="23"/>
        <v>2.2645992033570774</v>
      </c>
      <c r="N326" s="19" t="s">
        <v>102</v>
      </c>
      <c r="O326" s="5">
        <f t="shared" si="24"/>
        <v>2.222166738686912</v>
      </c>
      <c r="P326" s="19" t="s">
        <v>102</v>
      </c>
      <c r="Q326" s="5">
        <f t="shared" si="25"/>
        <v>2.203855079247089</v>
      </c>
      <c r="S326" s="56">
        <f t="shared" si="26"/>
        <v>2.236491135841416</v>
      </c>
    </row>
    <row r="327" spans="2:19" ht="12.75">
      <c r="B327" s="8" t="s">
        <v>205</v>
      </c>
      <c r="C327" s="17" t="s">
        <v>432</v>
      </c>
      <c r="D327" s="8" t="s">
        <v>57</v>
      </c>
      <c r="E327" s="8" t="s">
        <v>15</v>
      </c>
      <c r="F327" s="19" t="s">
        <v>102</v>
      </c>
      <c r="G327" s="5">
        <f t="shared" si="20"/>
        <v>2.4484736525471633</v>
      </c>
      <c r="H327" s="19" t="s">
        <v>102</v>
      </c>
      <c r="I327" s="5">
        <f t="shared" si="21"/>
        <v>2.1490663604287477</v>
      </c>
      <c r="J327" s="19" t="s">
        <v>102</v>
      </c>
      <c r="K327" s="5">
        <f t="shared" si="22"/>
        <v>2.1307857807815074</v>
      </c>
      <c r="L327" s="19" t="s">
        <v>102</v>
      </c>
      <c r="M327" s="5">
        <f t="shared" si="23"/>
        <v>2.2645992033570774</v>
      </c>
      <c r="N327" s="19" t="s">
        <v>102</v>
      </c>
      <c r="O327" s="5">
        <f t="shared" si="24"/>
        <v>2.222166738686912</v>
      </c>
      <c r="P327" s="19" t="s">
        <v>102</v>
      </c>
      <c r="Q327" s="5">
        <f t="shared" si="25"/>
        <v>2.203855079247089</v>
      </c>
      <c r="S327" s="56">
        <f t="shared" si="26"/>
        <v>2.236491135841416</v>
      </c>
    </row>
    <row r="328" spans="2:19" ht="12.75">
      <c r="B328" s="8" t="s">
        <v>206</v>
      </c>
      <c r="C328" s="17" t="s">
        <v>432</v>
      </c>
      <c r="D328" s="8" t="s">
        <v>57</v>
      </c>
      <c r="E328" s="8" t="s">
        <v>15</v>
      </c>
      <c r="F328" s="19" t="s">
        <v>102</v>
      </c>
      <c r="G328" s="5">
        <f t="shared" si="20"/>
        <v>2.4484736525471633</v>
      </c>
      <c r="H328" s="19" t="s">
        <v>102</v>
      </c>
      <c r="I328" s="5">
        <f t="shared" si="21"/>
        <v>2.1490663604287477</v>
      </c>
      <c r="J328" s="19" t="s">
        <v>102</v>
      </c>
      <c r="K328" s="5">
        <f t="shared" si="22"/>
        <v>2.1307857807815074</v>
      </c>
      <c r="L328" s="19" t="s">
        <v>102</v>
      </c>
      <c r="M328" s="5">
        <f t="shared" si="23"/>
        <v>2.2645992033570774</v>
      </c>
      <c r="N328" s="19" t="s">
        <v>102</v>
      </c>
      <c r="O328" s="5">
        <f t="shared" si="24"/>
        <v>2.222166738686912</v>
      </c>
      <c r="P328" s="19" t="s">
        <v>102</v>
      </c>
      <c r="Q328" s="5">
        <f t="shared" si="25"/>
        <v>2.203855079247089</v>
      </c>
      <c r="S328" s="56">
        <f t="shared" si="26"/>
        <v>2.236491135841416</v>
      </c>
    </row>
    <row r="329" spans="2:19" ht="12.75">
      <c r="B329" s="8" t="s">
        <v>207</v>
      </c>
      <c r="C329" s="17" t="s">
        <v>432</v>
      </c>
      <c r="D329" s="8" t="s">
        <v>57</v>
      </c>
      <c r="E329" s="8" t="s">
        <v>15</v>
      </c>
      <c r="F329" s="19" t="s">
        <v>102</v>
      </c>
      <c r="G329" s="5">
        <f t="shared" si="20"/>
        <v>2.4484736525471633</v>
      </c>
      <c r="H329" s="19" t="s">
        <v>102</v>
      </c>
      <c r="I329" s="5">
        <f t="shared" si="21"/>
        <v>2.1490663604287477</v>
      </c>
      <c r="J329" s="19" t="s">
        <v>102</v>
      </c>
      <c r="K329" s="5">
        <f t="shared" si="22"/>
        <v>2.1307857807815074</v>
      </c>
      <c r="L329" s="19" t="s">
        <v>102</v>
      </c>
      <c r="M329" s="5">
        <f t="shared" si="23"/>
        <v>2.2645992033570774</v>
      </c>
      <c r="N329" s="19" t="s">
        <v>102</v>
      </c>
      <c r="O329" s="5">
        <f t="shared" si="24"/>
        <v>2.222166738686912</v>
      </c>
      <c r="P329" s="19" t="s">
        <v>102</v>
      </c>
      <c r="Q329" s="5">
        <f t="shared" si="25"/>
        <v>2.203855079247089</v>
      </c>
      <c r="S329" s="56">
        <f t="shared" si="26"/>
        <v>2.236491135841416</v>
      </c>
    </row>
    <row r="330" spans="2:19" ht="12.75">
      <c r="B330" s="8" t="s">
        <v>208</v>
      </c>
      <c r="C330" s="17" t="s">
        <v>432</v>
      </c>
      <c r="D330" s="8" t="s">
        <v>57</v>
      </c>
      <c r="E330" s="8" t="s">
        <v>15</v>
      </c>
      <c r="F330" s="19" t="s">
        <v>102</v>
      </c>
      <c r="G330" s="5">
        <f t="shared" si="20"/>
        <v>2.4484736525471633</v>
      </c>
      <c r="H330" s="19" t="s">
        <v>102</v>
      </c>
      <c r="I330" s="5">
        <f t="shared" si="21"/>
        <v>2.1490663604287477</v>
      </c>
      <c r="J330" s="19" t="s">
        <v>102</v>
      </c>
      <c r="K330" s="5">
        <f t="shared" si="22"/>
        <v>2.1307857807815074</v>
      </c>
      <c r="L330" s="19" t="s">
        <v>102</v>
      </c>
      <c r="M330" s="5">
        <f t="shared" si="23"/>
        <v>2.2645992033570774</v>
      </c>
      <c r="N330" s="19" t="s">
        <v>102</v>
      </c>
      <c r="O330" s="5">
        <f t="shared" si="24"/>
        <v>2.222166738686912</v>
      </c>
      <c r="P330" s="19" t="s">
        <v>102</v>
      </c>
      <c r="Q330" s="5">
        <f t="shared" si="25"/>
        <v>2.203855079247089</v>
      </c>
      <c r="S330" s="56">
        <f t="shared" si="26"/>
        <v>2.236491135841416</v>
      </c>
    </row>
    <row r="331" spans="2:19" ht="12.75">
      <c r="B331" s="8" t="s">
        <v>209</v>
      </c>
      <c r="C331" s="17" t="s">
        <v>432</v>
      </c>
      <c r="D331" s="8" t="s">
        <v>57</v>
      </c>
      <c r="E331" s="8" t="s">
        <v>15</v>
      </c>
      <c r="F331" s="19" t="s">
        <v>102</v>
      </c>
      <c r="G331" s="5">
        <f t="shared" si="20"/>
        <v>2.4484736525471633</v>
      </c>
      <c r="H331" s="19" t="s">
        <v>102</v>
      </c>
      <c r="I331" s="5">
        <f t="shared" si="21"/>
        <v>2.1490663604287477</v>
      </c>
      <c r="J331" s="19" t="s">
        <v>102</v>
      </c>
      <c r="K331" s="5">
        <f t="shared" si="22"/>
        <v>2.1307857807815074</v>
      </c>
      <c r="L331" s="19" t="s">
        <v>102</v>
      </c>
      <c r="M331" s="5">
        <f t="shared" si="23"/>
        <v>2.2645992033570774</v>
      </c>
      <c r="N331" s="19" t="s">
        <v>102</v>
      </c>
      <c r="O331" s="5">
        <f t="shared" si="24"/>
        <v>2.222166738686912</v>
      </c>
      <c r="P331" s="19" t="s">
        <v>102</v>
      </c>
      <c r="Q331" s="5">
        <f t="shared" si="25"/>
        <v>2.203855079247089</v>
      </c>
      <c r="S331" s="56">
        <f t="shared" si="26"/>
        <v>2.236491135841416</v>
      </c>
    </row>
    <row r="332" spans="2:19" ht="12.75">
      <c r="B332" s="8" t="s">
        <v>210</v>
      </c>
      <c r="C332" s="17" t="s">
        <v>432</v>
      </c>
      <c r="D332" s="8" t="s">
        <v>57</v>
      </c>
      <c r="E332" s="8" t="s">
        <v>15</v>
      </c>
      <c r="F332" s="19" t="s">
        <v>102</v>
      </c>
      <c r="G332" s="5">
        <f t="shared" si="20"/>
        <v>2.4484736525471633</v>
      </c>
      <c r="H332" s="19" t="s">
        <v>102</v>
      </c>
      <c r="I332" s="5">
        <f t="shared" si="21"/>
        <v>2.1490663604287477</v>
      </c>
      <c r="J332" s="19" t="s">
        <v>102</v>
      </c>
      <c r="K332" s="5">
        <f t="shared" si="22"/>
        <v>2.1307857807815074</v>
      </c>
      <c r="L332" s="19" t="s">
        <v>102</v>
      </c>
      <c r="M332" s="5">
        <f t="shared" si="23"/>
        <v>2.2645992033570774</v>
      </c>
      <c r="N332" s="19" t="s">
        <v>102</v>
      </c>
      <c r="O332" s="5">
        <f t="shared" si="24"/>
        <v>2.222166738686912</v>
      </c>
      <c r="P332" s="19" t="s">
        <v>102</v>
      </c>
      <c r="Q332" s="5">
        <f t="shared" si="25"/>
        <v>2.203855079247089</v>
      </c>
      <c r="S332" s="56">
        <f t="shared" si="26"/>
        <v>2.236491135841416</v>
      </c>
    </row>
    <row r="333" spans="2:19" ht="12.75">
      <c r="B333" s="8" t="s">
        <v>211</v>
      </c>
      <c r="C333" s="17" t="s">
        <v>432</v>
      </c>
      <c r="D333" s="8" t="s">
        <v>57</v>
      </c>
      <c r="E333" s="8" t="s">
        <v>15</v>
      </c>
      <c r="F333" s="19" t="s">
        <v>102</v>
      </c>
      <c r="G333" s="5">
        <f t="shared" si="20"/>
        <v>2.4484736525471633</v>
      </c>
      <c r="H333" s="19" t="s">
        <v>102</v>
      </c>
      <c r="I333" s="5">
        <f t="shared" si="21"/>
        <v>2.1490663604287477</v>
      </c>
      <c r="J333" s="19" t="s">
        <v>102</v>
      </c>
      <c r="K333" s="5">
        <f t="shared" si="22"/>
        <v>2.1307857807815074</v>
      </c>
      <c r="L333" s="19" t="s">
        <v>102</v>
      </c>
      <c r="M333" s="5">
        <f t="shared" si="23"/>
        <v>2.2645992033570774</v>
      </c>
      <c r="N333" s="19" t="s">
        <v>102</v>
      </c>
      <c r="O333" s="5">
        <f t="shared" si="24"/>
        <v>2.222166738686912</v>
      </c>
      <c r="P333" s="19" t="s">
        <v>102</v>
      </c>
      <c r="Q333" s="5">
        <f t="shared" si="25"/>
        <v>2.203855079247089</v>
      </c>
      <c r="S333" s="56">
        <f t="shared" si="26"/>
        <v>2.236491135841416</v>
      </c>
    </row>
    <row r="334" spans="2:19" ht="12.75">
      <c r="B334" s="8" t="s">
        <v>212</v>
      </c>
      <c r="C334" s="17" t="s">
        <v>432</v>
      </c>
      <c r="D334" s="8" t="s">
        <v>57</v>
      </c>
      <c r="E334" s="8" t="s">
        <v>15</v>
      </c>
      <c r="F334" s="19" t="s">
        <v>102</v>
      </c>
      <c r="G334" s="5">
        <f t="shared" si="20"/>
        <v>2.4484736525471633</v>
      </c>
      <c r="H334" s="19" t="s">
        <v>102</v>
      </c>
      <c r="I334" s="5">
        <f t="shared" si="21"/>
        <v>2.1490663604287477</v>
      </c>
      <c r="J334" s="19" t="s">
        <v>102</v>
      </c>
      <c r="K334" s="5">
        <f t="shared" si="22"/>
        <v>2.1307857807815074</v>
      </c>
      <c r="L334" s="19" t="s">
        <v>102</v>
      </c>
      <c r="M334" s="5">
        <f t="shared" si="23"/>
        <v>2.2645992033570774</v>
      </c>
      <c r="N334" s="19" t="s">
        <v>102</v>
      </c>
      <c r="O334" s="5">
        <f t="shared" si="24"/>
        <v>2.222166738686912</v>
      </c>
      <c r="P334" s="19" t="s">
        <v>102</v>
      </c>
      <c r="Q334" s="5">
        <f t="shared" si="25"/>
        <v>2.203855079247089</v>
      </c>
      <c r="S334" s="56">
        <f t="shared" si="26"/>
        <v>2.236491135841416</v>
      </c>
    </row>
    <row r="335" spans="2:19" ht="12.75">
      <c r="B335" s="8" t="s">
        <v>213</v>
      </c>
      <c r="C335" s="17" t="s">
        <v>432</v>
      </c>
      <c r="D335" s="8" t="s">
        <v>57</v>
      </c>
      <c r="E335" s="8" t="s">
        <v>15</v>
      </c>
      <c r="F335" s="19" t="s">
        <v>102</v>
      </c>
      <c r="G335" s="5">
        <f t="shared" si="20"/>
        <v>2.4484736525471633</v>
      </c>
      <c r="H335" s="19" t="s">
        <v>102</v>
      </c>
      <c r="I335" s="5">
        <f t="shared" si="21"/>
        <v>2.1490663604287477</v>
      </c>
      <c r="J335" s="19" t="s">
        <v>102</v>
      </c>
      <c r="K335" s="5">
        <f t="shared" si="22"/>
        <v>2.1307857807815074</v>
      </c>
      <c r="L335" s="19" t="s">
        <v>102</v>
      </c>
      <c r="M335" s="5">
        <f t="shared" si="23"/>
        <v>2.2645992033570774</v>
      </c>
      <c r="N335" s="19" t="s">
        <v>102</v>
      </c>
      <c r="O335" s="5">
        <f t="shared" si="24"/>
        <v>2.222166738686912</v>
      </c>
      <c r="P335" s="19" t="s">
        <v>102</v>
      </c>
      <c r="Q335" s="5">
        <f t="shared" si="25"/>
        <v>2.203855079247089</v>
      </c>
      <c r="S335" s="56">
        <f t="shared" si="26"/>
        <v>2.236491135841416</v>
      </c>
    </row>
    <row r="336" spans="2:19" ht="12.75">
      <c r="B336" s="8" t="s">
        <v>214</v>
      </c>
      <c r="C336" s="17" t="s">
        <v>432</v>
      </c>
      <c r="D336" s="8" t="s">
        <v>57</v>
      </c>
      <c r="E336" s="8" t="s">
        <v>15</v>
      </c>
      <c r="F336" s="19" t="s">
        <v>102</v>
      </c>
      <c r="G336" s="5">
        <f t="shared" si="20"/>
        <v>2.4484736525471633</v>
      </c>
      <c r="H336" s="19" t="s">
        <v>102</v>
      </c>
      <c r="I336" s="5">
        <f t="shared" si="21"/>
        <v>2.1490663604287477</v>
      </c>
      <c r="J336" s="19" t="s">
        <v>102</v>
      </c>
      <c r="K336" s="5">
        <f t="shared" si="22"/>
        <v>2.1307857807815074</v>
      </c>
      <c r="L336" s="19" t="s">
        <v>102</v>
      </c>
      <c r="M336" s="5">
        <f t="shared" si="23"/>
        <v>2.2645992033570774</v>
      </c>
      <c r="N336" s="19" t="s">
        <v>102</v>
      </c>
      <c r="O336" s="5">
        <f t="shared" si="24"/>
        <v>2.222166738686912</v>
      </c>
      <c r="P336" s="19" t="s">
        <v>102</v>
      </c>
      <c r="Q336" s="5">
        <f t="shared" si="25"/>
        <v>2.203855079247089</v>
      </c>
      <c r="S336" s="56">
        <f t="shared" si="26"/>
        <v>2.236491135841416</v>
      </c>
    </row>
    <row r="337" spans="2:19" ht="12.75">
      <c r="B337" s="8" t="s">
        <v>215</v>
      </c>
      <c r="C337" s="17" t="s">
        <v>432</v>
      </c>
      <c r="D337" s="8" t="s">
        <v>57</v>
      </c>
      <c r="E337" s="8" t="s">
        <v>15</v>
      </c>
      <c r="G337" s="5">
        <f t="shared" si="20"/>
        <v>153.02960328419766</v>
      </c>
      <c r="I337" s="5">
        <f t="shared" si="21"/>
        <v>80.58998851607804</v>
      </c>
      <c r="K337" s="5">
        <f t="shared" si="22"/>
        <v>149.15500465470555</v>
      </c>
      <c r="M337" s="5">
        <f t="shared" si="23"/>
        <v>130.21445419303197</v>
      </c>
      <c r="O337" s="5">
        <f t="shared" si="24"/>
        <v>111.1083369343456</v>
      </c>
      <c r="Q337" s="5">
        <f t="shared" si="25"/>
        <v>60.60601467929495</v>
      </c>
      <c r="S337" s="56">
        <f t="shared" si="26"/>
        <v>114.11723371027564</v>
      </c>
    </row>
    <row r="338" spans="2:19" ht="12.75">
      <c r="B338" s="8" t="s">
        <v>216</v>
      </c>
      <c r="C338" s="17" t="s">
        <v>432</v>
      </c>
      <c r="D338" s="8" t="s">
        <v>57</v>
      </c>
      <c r="E338" s="8" t="s">
        <v>15</v>
      </c>
      <c r="F338" s="19" t="s">
        <v>102</v>
      </c>
      <c r="G338" s="5">
        <f t="shared" si="20"/>
        <v>2.4484736525471633</v>
      </c>
      <c r="H338" s="19" t="s">
        <v>102</v>
      </c>
      <c r="I338" s="5">
        <f t="shared" si="21"/>
        <v>2.1490663604287477</v>
      </c>
      <c r="J338" s="19" t="s">
        <v>102</v>
      </c>
      <c r="K338" s="5">
        <f t="shared" si="22"/>
        <v>2.1307857807815074</v>
      </c>
      <c r="L338" s="19" t="s">
        <v>102</v>
      </c>
      <c r="M338" s="5">
        <f t="shared" si="23"/>
        <v>2.2645992033570774</v>
      </c>
      <c r="N338" s="19" t="s">
        <v>102</v>
      </c>
      <c r="O338" s="5">
        <f t="shared" si="24"/>
        <v>2.222166738686912</v>
      </c>
      <c r="P338" s="19" t="s">
        <v>102</v>
      </c>
      <c r="Q338" s="5">
        <f t="shared" si="25"/>
        <v>2.203855079247089</v>
      </c>
      <c r="S338" s="56">
        <f t="shared" si="26"/>
        <v>2.236491135841416</v>
      </c>
    </row>
    <row r="339" spans="2:19" ht="12.75">
      <c r="B339" s="8" t="s">
        <v>217</v>
      </c>
      <c r="C339" s="17" t="s">
        <v>432</v>
      </c>
      <c r="D339" s="8" t="s">
        <v>57</v>
      </c>
      <c r="E339" s="8" t="s">
        <v>15</v>
      </c>
      <c r="F339" s="19" t="s">
        <v>102</v>
      </c>
      <c r="G339" s="5">
        <f t="shared" si="20"/>
        <v>2.4484736525471633</v>
      </c>
      <c r="I339" s="5">
        <f t="shared" si="21"/>
        <v>2.2027930194394667</v>
      </c>
      <c r="J339" s="19" t="s">
        <v>102</v>
      </c>
      <c r="K339" s="5">
        <f t="shared" si="22"/>
        <v>2.1307857807815074</v>
      </c>
      <c r="L339" s="19" t="s">
        <v>102</v>
      </c>
      <c r="M339" s="5">
        <f t="shared" si="23"/>
        <v>2.2645992033570774</v>
      </c>
      <c r="O339" s="5">
        <f t="shared" si="24"/>
        <v>3.8887917927020963</v>
      </c>
      <c r="Q339" s="5">
        <f t="shared" si="25"/>
        <v>2.5895297181153296</v>
      </c>
      <c r="S339" s="56">
        <f t="shared" si="26"/>
        <v>2.5874955278237732</v>
      </c>
    </row>
    <row r="340" spans="2:19" ht="12.75">
      <c r="B340" s="8" t="s">
        <v>218</v>
      </c>
      <c r="C340" s="17" t="s">
        <v>432</v>
      </c>
      <c r="D340" s="8" t="s">
        <v>57</v>
      </c>
      <c r="E340" s="8" t="s">
        <v>15</v>
      </c>
      <c r="F340" s="19" t="s">
        <v>102</v>
      </c>
      <c r="G340" s="5">
        <f t="shared" si="20"/>
        <v>2.4484736525471633</v>
      </c>
      <c r="H340" s="19" t="s">
        <v>102</v>
      </c>
      <c r="I340" s="5">
        <f t="shared" si="21"/>
        <v>2.1490663604287477</v>
      </c>
      <c r="J340" s="19" t="s">
        <v>102</v>
      </c>
      <c r="K340" s="5">
        <f t="shared" si="22"/>
        <v>2.1307857807815074</v>
      </c>
      <c r="L340" s="19" t="s">
        <v>102</v>
      </c>
      <c r="M340" s="5">
        <f t="shared" si="23"/>
        <v>2.2645992033570774</v>
      </c>
      <c r="N340" s="19" t="s">
        <v>102</v>
      </c>
      <c r="O340" s="5">
        <f t="shared" si="24"/>
        <v>2.222166738686912</v>
      </c>
      <c r="P340" s="19" t="s">
        <v>102</v>
      </c>
      <c r="Q340" s="5">
        <f t="shared" si="25"/>
        <v>2.203855079247089</v>
      </c>
      <c r="S340" s="56">
        <f t="shared" si="26"/>
        <v>2.236491135841416</v>
      </c>
    </row>
    <row r="341" spans="2:19" ht="12.75">
      <c r="B341" s="8" t="s">
        <v>219</v>
      </c>
      <c r="C341" s="17" t="s">
        <v>432</v>
      </c>
      <c r="D341" s="8" t="s">
        <v>57</v>
      </c>
      <c r="E341" s="8" t="s">
        <v>15</v>
      </c>
      <c r="F341" s="19" t="s">
        <v>102</v>
      </c>
      <c r="G341" s="5">
        <f t="shared" si="20"/>
        <v>2.4484736525471633</v>
      </c>
      <c r="H341" s="19" t="s">
        <v>102</v>
      </c>
      <c r="I341" s="5">
        <f t="shared" si="21"/>
        <v>2.1490663604287477</v>
      </c>
      <c r="J341" s="19" t="s">
        <v>102</v>
      </c>
      <c r="K341" s="5">
        <f t="shared" si="22"/>
        <v>2.1307857807815074</v>
      </c>
      <c r="L341" s="19" t="s">
        <v>102</v>
      </c>
      <c r="M341" s="5">
        <f t="shared" si="23"/>
        <v>2.2645992033570774</v>
      </c>
      <c r="N341" s="19" t="s">
        <v>102</v>
      </c>
      <c r="O341" s="5">
        <f t="shared" si="24"/>
        <v>2.222166738686912</v>
      </c>
      <c r="P341" s="19" t="s">
        <v>102</v>
      </c>
      <c r="Q341" s="5">
        <f t="shared" si="25"/>
        <v>2.203855079247089</v>
      </c>
      <c r="S341" s="56">
        <f t="shared" si="26"/>
        <v>2.236491135841416</v>
      </c>
    </row>
    <row r="342" spans="2:19" ht="12.75">
      <c r="B342" s="8" t="s">
        <v>220</v>
      </c>
      <c r="C342" s="17" t="s">
        <v>432</v>
      </c>
      <c r="D342" s="8" t="s">
        <v>57</v>
      </c>
      <c r="E342" s="8" t="s">
        <v>15</v>
      </c>
      <c r="F342" s="19" t="s">
        <v>102</v>
      </c>
      <c r="G342" s="5">
        <f t="shared" si="20"/>
        <v>2.4484736525471633</v>
      </c>
      <c r="H342" s="19" t="s">
        <v>102</v>
      </c>
      <c r="I342" s="5">
        <f t="shared" si="21"/>
        <v>2.1490663604287477</v>
      </c>
      <c r="J342" s="19" t="s">
        <v>102</v>
      </c>
      <c r="K342" s="5">
        <f t="shared" si="22"/>
        <v>2.1307857807815074</v>
      </c>
      <c r="L342" s="19" t="s">
        <v>102</v>
      </c>
      <c r="M342" s="5">
        <f t="shared" si="23"/>
        <v>2.2645992033570774</v>
      </c>
      <c r="N342" s="19" t="s">
        <v>102</v>
      </c>
      <c r="O342" s="5">
        <f t="shared" si="24"/>
        <v>2.222166738686912</v>
      </c>
      <c r="P342" s="19" t="s">
        <v>102</v>
      </c>
      <c r="Q342" s="5">
        <f t="shared" si="25"/>
        <v>2.203855079247089</v>
      </c>
      <c r="S342" s="56">
        <f t="shared" si="26"/>
        <v>2.236491135841416</v>
      </c>
    </row>
    <row r="343" spans="2:19" ht="12.75">
      <c r="B343" s="8" t="s">
        <v>221</v>
      </c>
      <c r="C343" s="17" t="s">
        <v>432</v>
      </c>
      <c r="D343" s="8" t="s">
        <v>57</v>
      </c>
      <c r="E343" s="8" t="s">
        <v>15</v>
      </c>
      <c r="F343" s="19" t="s">
        <v>102</v>
      </c>
      <c r="G343" s="5">
        <f t="shared" si="20"/>
        <v>2.4484736525471633</v>
      </c>
      <c r="H343" s="19" t="s">
        <v>102</v>
      </c>
      <c r="I343" s="5">
        <f t="shared" si="21"/>
        <v>2.1490663604287477</v>
      </c>
      <c r="J343" s="19" t="s">
        <v>102</v>
      </c>
      <c r="K343" s="5">
        <f t="shared" si="22"/>
        <v>2.1307857807815074</v>
      </c>
      <c r="L343" s="19" t="s">
        <v>102</v>
      </c>
      <c r="M343" s="5">
        <f t="shared" si="23"/>
        <v>2.2645992033570774</v>
      </c>
      <c r="N343" s="19" t="s">
        <v>102</v>
      </c>
      <c r="O343" s="5">
        <f t="shared" si="24"/>
        <v>2.222166738686912</v>
      </c>
      <c r="P343" s="19" t="s">
        <v>102</v>
      </c>
      <c r="Q343" s="5">
        <f t="shared" si="25"/>
        <v>2.203855079247089</v>
      </c>
      <c r="S343" s="56">
        <f t="shared" si="26"/>
        <v>2.236491135841416</v>
      </c>
    </row>
    <row r="344" spans="2:19" ht="12.75">
      <c r="B344" s="8" t="s">
        <v>222</v>
      </c>
      <c r="C344" s="17" t="s">
        <v>432</v>
      </c>
      <c r="D344" s="8" t="s">
        <v>57</v>
      </c>
      <c r="E344" s="8" t="s">
        <v>15</v>
      </c>
      <c r="F344" s="19" t="s">
        <v>102</v>
      </c>
      <c r="G344" s="5">
        <f t="shared" si="20"/>
        <v>2.4484736525471633</v>
      </c>
      <c r="H344" s="19" t="s">
        <v>102</v>
      </c>
      <c r="I344" s="5">
        <f t="shared" si="21"/>
        <v>2.1490663604287477</v>
      </c>
      <c r="J344" s="19" t="s">
        <v>102</v>
      </c>
      <c r="K344" s="5">
        <f t="shared" si="22"/>
        <v>2.1307857807815074</v>
      </c>
      <c r="L344" s="19" t="s">
        <v>102</v>
      </c>
      <c r="M344" s="5">
        <f t="shared" si="23"/>
        <v>2.2645992033570774</v>
      </c>
      <c r="N344" s="19" t="s">
        <v>102</v>
      </c>
      <c r="O344" s="5">
        <f t="shared" si="24"/>
        <v>2.222166738686912</v>
      </c>
      <c r="P344" s="19" t="s">
        <v>102</v>
      </c>
      <c r="Q344" s="5">
        <f t="shared" si="25"/>
        <v>2.203855079247089</v>
      </c>
      <c r="S344" s="56">
        <f t="shared" si="26"/>
        <v>2.236491135841416</v>
      </c>
    </row>
    <row r="345" spans="2:19" ht="12.75">
      <c r="B345" s="8" t="s">
        <v>223</v>
      </c>
      <c r="C345" s="17" t="s">
        <v>432</v>
      </c>
      <c r="D345" s="8" t="s">
        <v>57</v>
      </c>
      <c r="E345" s="8" t="s">
        <v>15</v>
      </c>
      <c r="F345" s="19" t="s">
        <v>102</v>
      </c>
      <c r="G345" s="5">
        <f t="shared" si="20"/>
        <v>2.4484736525471633</v>
      </c>
      <c r="H345" s="19" t="s">
        <v>102</v>
      </c>
      <c r="I345" s="5">
        <f t="shared" si="21"/>
        <v>2.1490663604287477</v>
      </c>
      <c r="J345" s="19" t="s">
        <v>102</v>
      </c>
      <c r="K345" s="5">
        <f t="shared" si="22"/>
        <v>2.1307857807815074</v>
      </c>
      <c r="L345" s="19" t="s">
        <v>102</v>
      </c>
      <c r="M345" s="5">
        <f t="shared" si="23"/>
        <v>2.2645992033570774</v>
      </c>
      <c r="N345" s="19" t="s">
        <v>102</v>
      </c>
      <c r="O345" s="5">
        <f t="shared" si="24"/>
        <v>2.222166738686912</v>
      </c>
      <c r="P345" s="19" t="s">
        <v>102</v>
      </c>
      <c r="Q345" s="5">
        <f t="shared" si="25"/>
        <v>2.203855079247089</v>
      </c>
      <c r="S345" s="56">
        <f t="shared" si="26"/>
        <v>2.236491135841416</v>
      </c>
    </row>
    <row r="346" spans="2:19" ht="12.75">
      <c r="B346" s="8" t="s">
        <v>224</v>
      </c>
      <c r="C346" s="17" t="s">
        <v>432</v>
      </c>
      <c r="D346" s="8" t="s">
        <v>57</v>
      </c>
      <c r="E346" s="8" t="s">
        <v>15</v>
      </c>
      <c r="F346" s="19" t="s">
        <v>102</v>
      </c>
      <c r="G346" s="5">
        <f t="shared" si="20"/>
        <v>2.4484736525471633</v>
      </c>
      <c r="H346" s="19" t="s">
        <v>102</v>
      </c>
      <c r="I346" s="5">
        <f t="shared" si="21"/>
        <v>2.1490663604287477</v>
      </c>
      <c r="J346" s="19" t="s">
        <v>102</v>
      </c>
      <c r="K346" s="5">
        <f t="shared" si="22"/>
        <v>2.1307857807815074</v>
      </c>
      <c r="L346" s="19" t="s">
        <v>102</v>
      </c>
      <c r="M346" s="5">
        <f t="shared" si="23"/>
        <v>2.2645992033570774</v>
      </c>
      <c r="N346" s="19" t="s">
        <v>102</v>
      </c>
      <c r="O346" s="5">
        <f t="shared" si="24"/>
        <v>2.222166738686912</v>
      </c>
      <c r="P346" s="19" t="s">
        <v>102</v>
      </c>
      <c r="Q346" s="5">
        <f t="shared" si="25"/>
        <v>2.203855079247089</v>
      </c>
      <c r="S346" s="56">
        <f t="shared" si="26"/>
        <v>2.236491135841416</v>
      </c>
    </row>
    <row r="347" spans="2:19" ht="12.75">
      <c r="B347" s="8" t="s">
        <v>225</v>
      </c>
      <c r="C347" s="17" t="s">
        <v>432</v>
      </c>
      <c r="D347" s="8" t="s">
        <v>57</v>
      </c>
      <c r="E347" s="8" t="s">
        <v>15</v>
      </c>
      <c r="F347" s="19" t="s">
        <v>102</v>
      </c>
      <c r="G347" s="5">
        <f t="shared" si="20"/>
        <v>2.4484736525471633</v>
      </c>
      <c r="H347" s="19" t="s">
        <v>102</v>
      </c>
      <c r="I347" s="5">
        <f t="shared" si="21"/>
        <v>2.1490663604287477</v>
      </c>
      <c r="J347" s="19" t="s">
        <v>102</v>
      </c>
      <c r="K347" s="5">
        <f t="shared" si="22"/>
        <v>2.1307857807815074</v>
      </c>
      <c r="L347" s="19" t="s">
        <v>102</v>
      </c>
      <c r="M347" s="5">
        <f t="shared" si="23"/>
        <v>2.2645992033570774</v>
      </c>
      <c r="N347" s="19" t="s">
        <v>102</v>
      </c>
      <c r="O347" s="5">
        <f t="shared" si="24"/>
        <v>2.222166738686912</v>
      </c>
      <c r="P347" s="19" t="s">
        <v>102</v>
      </c>
      <c r="Q347" s="5">
        <f t="shared" si="25"/>
        <v>2.203855079247089</v>
      </c>
      <c r="S347" s="56">
        <f t="shared" si="26"/>
        <v>2.236491135841416</v>
      </c>
    </row>
    <row r="348" spans="2:19" ht="12.75">
      <c r="B348" s="8" t="s">
        <v>226</v>
      </c>
      <c r="C348" s="17" t="s">
        <v>432</v>
      </c>
      <c r="D348" s="8" t="s">
        <v>57</v>
      </c>
      <c r="E348" s="8" t="s">
        <v>15</v>
      </c>
      <c r="F348" s="19" t="s">
        <v>102</v>
      </c>
      <c r="G348" s="5">
        <f t="shared" si="20"/>
        <v>2.4484736525471633</v>
      </c>
      <c r="H348" s="19" t="s">
        <v>102</v>
      </c>
      <c r="I348" s="5">
        <f t="shared" si="21"/>
        <v>2.1490663604287477</v>
      </c>
      <c r="J348" s="19" t="s">
        <v>102</v>
      </c>
      <c r="K348" s="5">
        <f t="shared" si="22"/>
        <v>2.1307857807815074</v>
      </c>
      <c r="L348" s="19" t="s">
        <v>102</v>
      </c>
      <c r="M348" s="5">
        <f t="shared" si="23"/>
        <v>2.2645992033570774</v>
      </c>
      <c r="N348" s="19" t="s">
        <v>102</v>
      </c>
      <c r="O348" s="5">
        <f t="shared" si="24"/>
        <v>2.222166738686912</v>
      </c>
      <c r="P348" s="19" t="s">
        <v>102</v>
      </c>
      <c r="Q348" s="5">
        <f t="shared" si="25"/>
        <v>2.203855079247089</v>
      </c>
      <c r="S348" s="56">
        <f t="shared" si="26"/>
        <v>2.236491135841416</v>
      </c>
    </row>
    <row r="349" spans="2:19" ht="12.75">
      <c r="B349" s="8" t="s">
        <v>227</v>
      </c>
      <c r="C349" s="17" t="s">
        <v>432</v>
      </c>
      <c r="D349" s="8" t="s">
        <v>57</v>
      </c>
      <c r="E349" s="8" t="s">
        <v>15</v>
      </c>
      <c r="F349" s="19" t="s">
        <v>102</v>
      </c>
      <c r="G349" s="5">
        <f t="shared" si="20"/>
        <v>2.4484736525471633</v>
      </c>
      <c r="H349" s="19" t="s">
        <v>102</v>
      </c>
      <c r="I349" s="5">
        <f t="shared" si="21"/>
        <v>2.1490663604287477</v>
      </c>
      <c r="J349" s="19" t="s">
        <v>102</v>
      </c>
      <c r="K349" s="5">
        <f t="shared" si="22"/>
        <v>2.1307857807815074</v>
      </c>
      <c r="L349" s="19" t="s">
        <v>102</v>
      </c>
      <c r="M349" s="5">
        <f t="shared" si="23"/>
        <v>2.2645992033570774</v>
      </c>
      <c r="N349" s="19" t="s">
        <v>102</v>
      </c>
      <c r="O349" s="5">
        <f t="shared" si="24"/>
        <v>2.222166738686912</v>
      </c>
      <c r="P349" s="19" t="s">
        <v>102</v>
      </c>
      <c r="Q349" s="5">
        <f t="shared" si="25"/>
        <v>2.203855079247089</v>
      </c>
      <c r="S349" s="56">
        <f t="shared" si="26"/>
        <v>2.236491135841416</v>
      </c>
    </row>
    <row r="350" spans="2:19" ht="12.75">
      <c r="B350" s="8" t="s">
        <v>228</v>
      </c>
      <c r="C350" s="17" t="s">
        <v>432</v>
      </c>
      <c r="D350" s="8" t="s">
        <v>57</v>
      </c>
      <c r="E350" s="8" t="s">
        <v>15</v>
      </c>
      <c r="F350" s="19" t="s">
        <v>102</v>
      </c>
      <c r="G350" s="5">
        <f t="shared" si="20"/>
        <v>2.4484736525471633</v>
      </c>
      <c r="H350" s="19" t="s">
        <v>102</v>
      </c>
      <c r="I350" s="5">
        <f t="shared" si="21"/>
        <v>2.1490663604287477</v>
      </c>
      <c r="J350" s="19" t="s">
        <v>102</v>
      </c>
      <c r="K350" s="5">
        <f t="shared" si="22"/>
        <v>2.1307857807815074</v>
      </c>
      <c r="L350" s="19" t="s">
        <v>102</v>
      </c>
      <c r="M350" s="5">
        <f t="shared" si="23"/>
        <v>2.2645992033570774</v>
      </c>
      <c r="N350" s="19" t="s">
        <v>102</v>
      </c>
      <c r="O350" s="5">
        <f t="shared" si="24"/>
        <v>2.222166738686912</v>
      </c>
      <c r="P350" s="19" t="s">
        <v>102</v>
      </c>
      <c r="Q350" s="5">
        <f t="shared" si="25"/>
        <v>2.203855079247089</v>
      </c>
      <c r="S350" s="56">
        <f t="shared" si="26"/>
        <v>2.236491135841416</v>
      </c>
    </row>
    <row r="351" spans="2:19" ht="12.75">
      <c r="B351" s="8" t="s">
        <v>229</v>
      </c>
      <c r="C351" s="17" t="s">
        <v>432</v>
      </c>
      <c r="D351" s="8" t="s">
        <v>57</v>
      </c>
      <c r="E351" s="8" t="s">
        <v>15</v>
      </c>
      <c r="F351" s="19" t="s">
        <v>102</v>
      </c>
      <c r="G351" s="5">
        <f t="shared" si="20"/>
        <v>2.4484736525471633</v>
      </c>
      <c r="H351" s="19" t="s">
        <v>102</v>
      </c>
      <c r="I351" s="5">
        <f t="shared" si="21"/>
        <v>2.1490663604287477</v>
      </c>
      <c r="J351" s="19" t="s">
        <v>102</v>
      </c>
      <c r="K351" s="5">
        <f t="shared" si="22"/>
        <v>2.1307857807815074</v>
      </c>
      <c r="L351" s="19" t="s">
        <v>102</v>
      </c>
      <c r="M351" s="5">
        <f t="shared" si="23"/>
        <v>2.2645992033570774</v>
      </c>
      <c r="N351" s="19" t="s">
        <v>102</v>
      </c>
      <c r="O351" s="5">
        <f t="shared" si="24"/>
        <v>2.222166738686912</v>
      </c>
      <c r="P351" s="19" t="s">
        <v>102</v>
      </c>
      <c r="Q351" s="5">
        <f t="shared" si="25"/>
        <v>2.203855079247089</v>
      </c>
      <c r="S351" s="56">
        <f t="shared" si="26"/>
        <v>2.236491135841416</v>
      </c>
    </row>
    <row r="352" spans="2:19" ht="12.75">
      <c r="B352" s="8" t="s">
        <v>261</v>
      </c>
      <c r="C352" s="17" t="s">
        <v>432</v>
      </c>
      <c r="D352" s="8" t="s">
        <v>57</v>
      </c>
      <c r="E352" s="8" t="s">
        <v>15</v>
      </c>
      <c r="F352" s="19" t="s">
        <v>102</v>
      </c>
      <c r="G352" s="5">
        <f t="shared" si="20"/>
        <v>2.4484736525471633</v>
      </c>
      <c r="H352" s="19" t="s">
        <v>102</v>
      </c>
      <c r="I352" s="5">
        <f t="shared" si="21"/>
        <v>2.1490663604287477</v>
      </c>
      <c r="J352" s="19" t="s">
        <v>102</v>
      </c>
      <c r="K352" s="5">
        <f t="shared" si="22"/>
        <v>2.1307857807815074</v>
      </c>
      <c r="L352" s="19" t="s">
        <v>102</v>
      </c>
      <c r="M352" s="5">
        <f t="shared" si="23"/>
        <v>2.2645992033570774</v>
      </c>
      <c r="N352" s="19" t="s">
        <v>102</v>
      </c>
      <c r="O352" s="5">
        <f t="shared" si="24"/>
        <v>2.222166738686912</v>
      </c>
      <c r="P352" s="19" t="s">
        <v>102</v>
      </c>
      <c r="Q352" s="5">
        <f t="shared" si="25"/>
        <v>2.203855079247089</v>
      </c>
      <c r="S352" s="56">
        <f t="shared" si="26"/>
        <v>2.236491135841416</v>
      </c>
    </row>
    <row r="353" spans="2:19" ht="12.75">
      <c r="B353" s="8" t="s">
        <v>231</v>
      </c>
      <c r="C353" s="17" t="s">
        <v>432</v>
      </c>
      <c r="D353" s="8" t="s">
        <v>57</v>
      </c>
      <c r="E353" s="8" t="s">
        <v>15</v>
      </c>
      <c r="F353" s="19" t="s">
        <v>102</v>
      </c>
      <c r="G353" s="5">
        <f aca="true" t="shared" si="27" ref="G353:G383">G288/G$239/0.028317*(21-7)/(21-G$241)</f>
        <v>2.4484736525471633</v>
      </c>
      <c r="H353" s="19" t="s">
        <v>102</v>
      </c>
      <c r="I353" s="5">
        <f aca="true" t="shared" si="28" ref="I353:I383">I288/I$239/0.028317*(21-7)/(21-I$241)</f>
        <v>2.1490663604287477</v>
      </c>
      <c r="J353" s="19" t="s">
        <v>102</v>
      </c>
      <c r="K353" s="5">
        <f aca="true" t="shared" si="29" ref="K353:K383">K288/K$239/0.028317*(21-7)/(21-K$241)</f>
        <v>2.1307857807815074</v>
      </c>
      <c r="L353" s="19" t="s">
        <v>102</v>
      </c>
      <c r="M353" s="5">
        <f aca="true" t="shared" si="30" ref="M353:M383">M288/M$239/0.028317*(21-7)/(21-M$241)</f>
        <v>2.2645992033570774</v>
      </c>
      <c r="N353" s="19" t="s">
        <v>102</v>
      </c>
      <c r="O353" s="5">
        <f aca="true" t="shared" si="31" ref="O353:O383">O288/O$239/0.028317*(21-7)/(21-O$241)</f>
        <v>2.222166738686912</v>
      </c>
      <c r="P353" s="19" t="s">
        <v>102</v>
      </c>
      <c r="Q353" s="5">
        <f aca="true" t="shared" si="32" ref="Q353:Q383">Q288/Q$239/0.028317*(21-7)/(21-Q$241)</f>
        <v>2.203855079247089</v>
      </c>
      <c r="S353" s="56">
        <f t="shared" si="26"/>
        <v>2.236491135841416</v>
      </c>
    </row>
    <row r="354" spans="2:19" ht="12.75">
      <c r="B354" s="8" t="s">
        <v>232</v>
      </c>
      <c r="C354" s="17" t="s">
        <v>432</v>
      </c>
      <c r="D354" s="8" t="s">
        <v>57</v>
      </c>
      <c r="E354" s="8" t="s">
        <v>15</v>
      </c>
      <c r="F354" s="19" t="s">
        <v>102</v>
      </c>
      <c r="G354" s="5">
        <f t="shared" si="27"/>
        <v>2.4484736525471633</v>
      </c>
      <c r="H354" s="19" t="s">
        <v>102</v>
      </c>
      <c r="I354" s="5">
        <f t="shared" si="28"/>
        <v>2.1490663604287477</v>
      </c>
      <c r="J354" s="19" t="s">
        <v>102</v>
      </c>
      <c r="K354" s="5">
        <f t="shared" si="29"/>
        <v>2.1307857807815074</v>
      </c>
      <c r="L354" s="19" t="s">
        <v>102</v>
      </c>
      <c r="M354" s="5">
        <f t="shared" si="30"/>
        <v>2.2645992033570774</v>
      </c>
      <c r="N354" s="19" t="s">
        <v>102</v>
      </c>
      <c r="O354" s="5">
        <f t="shared" si="31"/>
        <v>2.222166738686912</v>
      </c>
      <c r="P354" s="19" t="s">
        <v>102</v>
      </c>
      <c r="Q354" s="5">
        <f t="shared" si="32"/>
        <v>2.203855079247089</v>
      </c>
      <c r="S354" s="56">
        <f t="shared" si="26"/>
        <v>2.236491135841416</v>
      </c>
    </row>
    <row r="355" spans="2:19" ht="12.75">
      <c r="B355" s="8" t="s">
        <v>233</v>
      </c>
      <c r="C355" s="17" t="s">
        <v>432</v>
      </c>
      <c r="D355" s="8" t="s">
        <v>57</v>
      </c>
      <c r="E355" s="8" t="s">
        <v>15</v>
      </c>
      <c r="F355" s="19" t="s">
        <v>102</v>
      </c>
      <c r="G355" s="5">
        <f t="shared" si="27"/>
        <v>12.242368262735814</v>
      </c>
      <c r="H355" s="19" t="s">
        <v>102</v>
      </c>
      <c r="I355" s="5">
        <f t="shared" si="28"/>
        <v>10.745331802143738</v>
      </c>
      <c r="J355" s="19" t="s">
        <v>102</v>
      </c>
      <c r="K355" s="5">
        <f t="shared" si="29"/>
        <v>10.653928903907538</v>
      </c>
      <c r="L355" s="19" t="s">
        <v>102</v>
      </c>
      <c r="M355" s="5">
        <f t="shared" si="30"/>
        <v>11.322996016785387</v>
      </c>
      <c r="N355" s="19" t="s">
        <v>102</v>
      </c>
      <c r="O355" s="5">
        <f t="shared" si="31"/>
        <v>11.11083369343456</v>
      </c>
      <c r="P355" s="19" t="s">
        <v>102</v>
      </c>
      <c r="Q355" s="5">
        <f t="shared" si="32"/>
        <v>11.019275396235443</v>
      </c>
      <c r="S355" s="56">
        <f t="shared" si="26"/>
        <v>11.18245567920708</v>
      </c>
    </row>
    <row r="356" spans="2:19" ht="12.75">
      <c r="B356" s="8" t="s">
        <v>234</v>
      </c>
      <c r="C356" s="17" t="s">
        <v>432</v>
      </c>
      <c r="D356" s="8" t="s">
        <v>57</v>
      </c>
      <c r="E356" s="8" t="s">
        <v>15</v>
      </c>
      <c r="F356" s="19" t="s">
        <v>102</v>
      </c>
      <c r="G356" s="5">
        <f t="shared" si="27"/>
        <v>4.896947305094327</v>
      </c>
      <c r="H356" s="19" t="s">
        <v>102</v>
      </c>
      <c r="I356" s="5">
        <f t="shared" si="28"/>
        <v>4.298132720857495</v>
      </c>
      <c r="J356" s="19" t="s">
        <v>102</v>
      </c>
      <c r="K356" s="5">
        <f t="shared" si="29"/>
        <v>4.261571561563015</v>
      </c>
      <c r="L356" s="19" t="s">
        <v>102</v>
      </c>
      <c r="M356" s="5">
        <f t="shared" si="30"/>
        <v>4.529198406714155</v>
      </c>
      <c r="N356" s="19" t="s">
        <v>102</v>
      </c>
      <c r="O356" s="5">
        <f t="shared" si="31"/>
        <v>4.444333477373824</v>
      </c>
      <c r="P356" s="19" t="s">
        <v>102</v>
      </c>
      <c r="Q356" s="5">
        <f t="shared" si="32"/>
        <v>4.407710158494178</v>
      </c>
      <c r="S356" s="56">
        <f t="shared" si="26"/>
        <v>4.472982271682832</v>
      </c>
    </row>
    <row r="357" spans="2:19" ht="12.75">
      <c r="B357" s="8" t="s">
        <v>235</v>
      </c>
      <c r="C357" s="17" t="s">
        <v>432</v>
      </c>
      <c r="D357" s="8" t="s">
        <v>57</v>
      </c>
      <c r="E357" s="8" t="s">
        <v>15</v>
      </c>
      <c r="F357" s="19" t="s">
        <v>102</v>
      </c>
      <c r="G357" s="5">
        <f t="shared" si="27"/>
        <v>2.4484736525471633</v>
      </c>
      <c r="H357" s="19" t="s">
        <v>102</v>
      </c>
      <c r="I357" s="5">
        <f t="shared" si="28"/>
        <v>2.1490663604287477</v>
      </c>
      <c r="J357" s="19" t="s">
        <v>102</v>
      </c>
      <c r="K357" s="5">
        <f t="shared" si="29"/>
        <v>2.1307857807815074</v>
      </c>
      <c r="L357" s="19" t="s">
        <v>102</v>
      </c>
      <c r="M357" s="5">
        <f t="shared" si="30"/>
        <v>2.2645992033570774</v>
      </c>
      <c r="N357" s="19" t="s">
        <v>102</v>
      </c>
      <c r="O357" s="5">
        <f t="shared" si="31"/>
        <v>2.222166738686912</v>
      </c>
      <c r="P357" s="19" t="s">
        <v>102</v>
      </c>
      <c r="Q357" s="5">
        <f t="shared" si="32"/>
        <v>2.203855079247089</v>
      </c>
      <c r="S357" s="56">
        <f t="shared" si="26"/>
        <v>2.236491135841416</v>
      </c>
    </row>
    <row r="358" spans="2:19" ht="12.75">
      <c r="B358" s="8" t="s">
        <v>230</v>
      </c>
      <c r="C358" s="17" t="s">
        <v>432</v>
      </c>
      <c r="D358" s="8" t="s">
        <v>57</v>
      </c>
      <c r="E358" s="8" t="s">
        <v>15</v>
      </c>
      <c r="F358" s="19" t="s">
        <v>102</v>
      </c>
      <c r="G358" s="5">
        <f t="shared" si="27"/>
        <v>2.4484736525471633</v>
      </c>
      <c r="H358" s="19" t="s">
        <v>102</v>
      </c>
      <c r="I358" s="5">
        <f t="shared" si="28"/>
        <v>2.1490663604287477</v>
      </c>
      <c r="J358" s="19" t="s">
        <v>102</v>
      </c>
      <c r="K358" s="5">
        <f t="shared" si="29"/>
        <v>2.1307857807815074</v>
      </c>
      <c r="L358" s="19" t="s">
        <v>102</v>
      </c>
      <c r="M358" s="5">
        <f t="shared" si="30"/>
        <v>2.2645992033570774</v>
      </c>
      <c r="N358" s="19" t="s">
        <v>102</v>
      </c>
      <c r="O358" s="5">
        <f t="shared" si="31"/>
        <v>2.222166738686912</v>
      </c>
      <c r="P358" s="19" t="s">
        <v>102</v>
      </c>
      <c r="Q358" s="5">
        <f t="shared" si="32"/>
        <v>2.203855079247089</v>
      </c>
      <c r="S358" s="56">
        <f t="shared" si="26"/>
        <v>2.236491135841416</v>
      </c>
    </row>
    <row r="359" spans="2:19" ht="12.75">
      <c r="B359" s="8" t="s">
        <v>236</v>
      </c>
      <c r="C359" s="17" t="s">
        <v>432</v>
      </c>
      <c r="D359" s="8" t="s">
        <v>57</v>
      </c>
      <c r="E359" s="8" t="s">
        <v>15</v>
      </c>
      <c r="F359" s="19" t="s">
        <v>102</v>
      </c>
      <c r="G359" s="5">
        <f t="shared" si="27"/>
        <v>2.4484736525471633</v>
      </c>
      <c r="H359" s="19" t="s">
        <v>102</v>
      </c>
      <c r="I359" s="5">
        <f t="shared" si="28"/>
        <v>2.1490663604287477</v>
      </c>
      <c r="J359" s="19" t="s">
        <v>102</v>
      </c>
      <c r="K359" s="5">
        <f t="shared" si="29"/>
        <v>2.1307857807815074</v>
      </c>
      <c r="L359" s="19" t="s">
        <v>102</v>
      </c>
      <c r="M359" s="5">
        <f t="shared" si="30"/>
        <v>2.2645992033570774</v>
      </c>
      <c r="N359" s="19" t="s">
        <v>102</v>
      </c>
      <c r="O359" s="5">
        <f t="shared" si="31"/>
        <v>2.222166738686912</v>
      </c>
      <c r="P359" s="19" t="s">
        <v>102</v>
      </c>
      <c r="Q359" s="5">
        <f t="shared" si="32"/>
        <v>2.203855079247089</v>
      </c>
      <c r="S359" s="56">
        <f t="shared" si="26"/>
        <v>2.236491135841416</v>
      </c>
    </row>
    <row r="360" spans="2:19" ht="12.75">
      <c r="B360" s="8" t="s">
        <v>237</v>
      </c>
      <c r="C360" s="17" t="s">
        <v>432</v>
      </c>
      <c r="D360" s="8" t="s">
        <v>57</v>
      </c>
      <c r="E360" s="8" t="s">
        <v>15</v>
      </c>
      <c r="F360" s="19" t="s">
        <v>102</v>
      </c>
      <c r="G360" s="5">
        <f t="shared" si="27"/>
        <v>2.4484736525471633</v>
      </c>
      <c r="H360" s="19" t="s">
        <v>102</v>
      </c>
      <c r="I360" s="5">
        <f t="shared" si="28"/>
        <v>2.1490663604287477</v>
      </c>
      <c r="J360" s="19" t="s">
        <v>102</v>
      </c>
      <c r="K360" s="5">
        <f t="shared" si="29"/>
        <v>2.1307857807815074</v>
      </c>
      <c r="L360" s="19" t="s">
        <v>102</v>
      </c>
      <c r="M360" s="5">
        <f t="shared" si="30"/>
        <v>2.2645992033570774</v>
      </c>
      <c r="N360" s="19" t="s">
        <v>102</v>
      </c>
      <c r="O360" s="5">
        <f t="shared" si="31"/>
        <v>2.222166738686912</v>
      </c>
      <c r="P360" s="19" t="s">
        <v>102</v>
      </c>
      <c r="Q360" s="5">
        <f t="shared" si="32"/>
        <v>2.203855079247089</v>
      </c>
      <c r="S360" s="56">
        <f t="shared" si="26"/>
        <v>2.236491135841416</v>
      </c>
    </row>
    <row r="361" spans="2:19" ht="12.75">
      <c r="B361" s="8" t="s">
        <v>238</v>
      </c>
      <c r="C361" s="17" t="s">
        <v>432</v>
      </c>
      <c r="D361" s="8" t="s">
        <v>57</v>
      </c>
      <c r="E361" s="8" t="s">
        <v>15</v>
      </c>
      <c r="F361" s="19" t="s">
        <v>102</v>
      </c>
      <c r="G361" s="5">
        <f t="shared" si="27"/>
        <v>2.4484736525471633</v>
      </c>
      <c r="H361" s="19" t="s">
        <v>102</v>
      </c>
      <c r="I361" s="5">
        <f t="shared" si="28"/>
        <v>2.1490663604287477</v>
      </c>
      <c r="J361" s="19" t="s">
        <v>102</v>
      </c>
      <c r="K361" s="5">
        <f t="shared" si="29"/>
        <v>2.1307857807815074</v>
      </c>
      <c r="L361" s="19" t="s">
        <v>102</v>
      </c>
      <c r="M361" s="5">
        <f t="shared" si="30"/>
        <v>2.2645992033570774</v>
      </c>
      <c r="N361" s="19" t="s">
        <v>102</v>
      </c>
      <c r="O361" s="5">
        <f t="shared" si="31"/>
        <v>2.222166738686912</v>
      </c>
      <c r="P361" s="19" t="s">
        <v>102</v>
      </c>
      <c r="Q361" s="5">
        <f t="shared" si="32"/>
        <v>2.203855079247089</v>
      </c>
      <c r="S361" s="56">
        <f t="shared" si="26"/>
        <v>2.236491135841416</v>
      </c>
    </row>
    <row r="362" spans="2:19" ht="12.75">
      <c r="B362" s="8" t="s">
        <v>239</v>
      </c>
      <c r="C362" s="17" t="s">
        <v>432</v>
      </c>
      <c r="D362" s="8" t="s">
        <v>57</v>
      </c>
      <c r="E362" s="8" t="s">
        <v>15</v>
      </c>
      <c r="F362" s="19" t="s">
        <v>102</v>
      </c>
      <c r="G362" s="5">
        <f t="shared" si="27"/>
        <v>2.4484736525471633</v>
      </c>
      <c r="H362" s="19" t="s">
        <v>102</v>
      </c>
      <c r="I362" s="5">
        <f t="shared" si="28"/>
        <v>2.1490663604287477</v>
      </c>
      <c r="J362" s="19" t="s">
        <v>102</v>
      </c>
      <c r="K362" s="5">
        <f t="shared" si="29"/>
        <v>2.1307857807815074</v>
      </c>
      <c r="L362" s="19" t="s">
        <v>102</v>
      </c>
      <c r="M362" s="5">
        <f t="shared" si="30"/>
        <v>2.2645992033570774</v>
      </c>
      <c r="N362" s="19" t="s">
        <v>102</v>
      </c>
      <c r="O362" s="5">
        <f t="shared" si="31"/>
        <v>2.222166738686912</v>
      </c>
      <c r="P362" s="19" t="s">
        <v>102</v>
      </c>
      <c r="Q362" s="5">
        <f t="shared" si="32"/>
        <v>2.203855079247089</v>
      </c>
      <c r="S362" s="56">
        <f t="shared" si="26"/>
        <v>2.236491135841416</v>
      </c>
    </row>
    <row r="363" spans="2:19" ht="12.75">
      <c r="B363" s="8" t="s">
        <v>240</v>
      </c>
      <c r="C363" s="17" t="s">
        <v>432</v>
      </c>
      <c r="D363" s="8" t="s">
        <v>57</v>
      </c>
      <c r="E363" s="8" t="s">
        <v>15</v>
      </c>
      <c r="F363" s="19" t="s">
        <v>102</v>
      </c>
      <c r="G363" s="5">
        <f t="shared" si="27"/>
        <v>4.896947305094327</v>
      </c>
      <c r="H363" s="19" t="s">
        <v>102</v>
      </c>
      <c r="I363" s="5">
        <f t="shared" si="28"/>
        <v>4.298132720857495</v>
      </c>
      <c r="J363" s="19" t="s">
        <v>102</v>
      </c>
      <c r="K363" s="5">
        <f t="shared" si="29"/>
        <v>4.261571561563015</v>
      </c>
      <c r="L363" s="19" t="s">
        <v>102</v>
      </c>
      <c r="M363" s="5">
        <f t="shared" si="30"/>
        <v>4.529198406714155</v>
      </c>
      <c r="N363" s="19" t="s">
        <v>102</v>
      </c>
      <c r="O363" s="5">
        <f t="shared" si="31"/>
        <v>4.444333477373824</v>
      </c>
      <c r="P363" s="19" t="s">
        <v>102</v>
      </c>
      <c r="Q363" s="5">
        <f t="shared" si="32"/>
        <v>4.407710158494178</v>
      </c>
      <c r="S363" s="56">
        <f t="shared" si="26"/>
        <v>4.472982271682832</v>
      </c>
    </row>
    <row r="364" spans="2:19" ht="12.75">
      <c r="B364" s="8" t="s">
        <v>241</v>
      </c>
      <c r="C364" s="17" t="s">
        <v>432</v>
      </c>
      <c r="D364" s="8" t="s">
        <v>57</v>
      </c>
      <c r="E364" s="8" t="s">
        <v>15</v>
      </c>
      <c r="F364" s="19" t="s">
        <v>102</v>
      </c>
      <c r="G364" s="5">
        <f t="shared" si="27"/>
        <v>2.4484736525471633</v>
      </c>
      <c r="H364" s="19" t="s">
        <v>102</v>
      </c>
      <c r="I364" s="5">
        <f t="shared" si="28"/>
        <v>2.1490663604287477</v>
      </c>
      <c r="J364" s="19" t="s">
        <v>102</v>
      </c>
      <c r="K364" s="5">
        <f t="shared" si="29"/>
        <v>2.1307857807815074</v>
      </c>
      <c r="L364" s="19" t="s">
        <v>102</v>
      </c>
      <c r="M364" s="5">
        <f t="shared" si="30"/>
        <v>2.2645992033570774</v>
      </c>
      <c r="N364" s="19" t="s">
        <v>102</v>
      </c>
      <c r="O364" s="5">
        <f t="shared" si="31"/>
        <v>2.222166738686912</v>
      </c>
      <c r="P364" s="19" t="s">
        <v>102</v>
      </c>
      <c r="Q364" s="5">
        <f t="shared" si="32"/>
        <v>2.203855079247089</v>
      </c>
      <c r="S364" s="56">
        <f t="shared" si="26"/>
        <v>2.236491135841416</v>
      </c>
    </row>
    <row r="365" spans="2:19" ht="12.75">
      <c r="B365" s="8" t="s">
        <v>242</v>
      </c>
      <c r="C365" s="17" t="s">
        <v>432</v>
      </c>
      <c r="D365" s="8" t="s">
        <v>57</v>
      </c>
      <c r="E365" s="8" t="s">
        <v>15</v>
      </c>
      <c r="F365" s="19" t="s">
        <v>102</v>
      </c>
      <c r="G365" s="5">
        <f t="shared" si="27"/>
        <v>2.4484736525471633</v>
      </c>
      <c r="H365" s="19" t="s">
        <v>102</v>
      </c>
      <c r="I365" s="5">
        <f t="shared" si="28"/>
        <v>2.1490663604287477</v>
      </c>
      <c r="J365" s="19" t="s">
        <v>102</v>
      </c>
      <c r="K365" s="5">
        <f t="shared" si="29"/>
        <v>2.1307857807815074</v>
      </c>
      <c r="L365" s="19" t="s">
        <v>102</v>
      </c>
      <c r="M365" s="5">
        <f t="shared" si="30"/>
        <v>2.2645992033570774</v>
      </c>
      <c r="N365" s="19" t="s">
        <v>102</v>
      </c>
      <c r="O365" s="5">
        <f t="shared" si="31"/>
        <v>2.222166738686912</v>
      </c>
      <c r="P365" s="19" t="s">
        <v>102</v>
      </c>
      <c r="Q365" s="5">
        <f t="shared" si="32"/>
        <v>2.203855079247089</v>
      </c>
      <c r="S365" s="56">
        <f t="shared" si="26"/>
        <v>2.236491135841416</v>
      </c>
    </row>
    <row r="366" spans="2:19" ht="12.75">
      <c r="B366" s="8" t="s">
        <v>243</v>
      </c>
      <c r="C366" s="17" t="s">
        <v>432</v>
      </c>
      <c r="D366" s="8" t="s">
        <v>57</v>
      </c>
      <c r="E366" s="8" t="s">
        <v>15</v>
      </c>
      <c r="F366" s="19" t="s">
        <v>102</v>
      </c>
      <c r="G366" s="5">
        <f t="shared" si="27"/>
        <v>2.4484736525471633</v>
      </c>
      <c r="H366" s="19" t="s">
        <v>102</v>
      </c>
      <c r="I366" s="5">
        <f t="shared" si="28"/>
        <v>2.1490663604287477</v>
      </c>
      <c r="J366" s="19" t="s">
        <v>102</v>
      </c>
      <c r="K366" s="5">
        <f t="shared" si="29"/>
        <v>2.1307857807815074</v>
      </c>
      <c r="L366" s="19" t="s">
        <v>102</v>
      </c>
      <c r="M366" s="5">
        <f t="shared" si="30"/>
        <v>2.2645992033570774</v>
      </c>
      <c r="N366" s="19" t="s">
        <v>102</v>
      </c>
      <c r="O366" s="5">
        <f t="shared" si="31"/>
        <v>2.222166738686912</v>
      </c>
      <c r="P366" s="19" t="s">
        <v>102</v>
      </c>
      <c r="Q366" s="5">
        <f t="shared" si="32"/>
        <v>2.203855079247089</v>
      </c>
      <c r="S366" s="56">
        <f t="shared" si="26"/>
        <v>2.236491135841416</v>
      </c>
    </row>
    <row r="367" spans="2:19" ht="12.75">
      <c r="B367" s="8" t="s">
        <v>244</v>
      </c>
      <c r="C367" s="17" t="s">
        <v>432</v>
      </c>
      <c r="D367" s="8" t="s">
        <v>57</v>
      </c>
      <c r="E367" s="8" t="s">
        <v>15</v>
      </c>
      <c r="F367" s="19" t="s">
        <v>102</v>
      </c>
      <c r="G367" s="5">
        <f t="shared" si="27"/>
        <v>2.4484736525471633</v>
      </c>
      <c r="H367" s="19" t="s">
        <v>102</v>
      </c>
      <c r="I367" s="5">
        <f t="shared" si="28"/>
        <v>2.1490663604287477</v>
      </c>
      <c r="J367" s="19" t="s">
        <v>102</v>
      </c>
      <c r="K367" s="5">
        <f t="shared" si="29"/>
        <v>2.1307857807815074</v>
      </c>
      <c r="L367" s="19" t="s">
        <v>102</v>
      </c>
      <c r="M367" s="5">
        <f t="shared" si="30"/>
        <v>2.2645992033570774</v>
      </c>
      <c r="N367" s="19" t="s">
        <v>102</v>
      </c>
      <c r="O367" s="5">
        <f t="shared" si="31"/>
        <v>2.222166738686912</v>
      </c>
      <c r="P367" s="19" t="s">
        <v>102</v>
      </c>
      <c r="Q367" s="5">
        <f t="shared" si="32"/>
        <v>2.203855079247089</v>
      </c>
      <c r="S367" s="56">
        <f t="shared" si="26"/>
        <v>2.236491135841416</v>
      </c>
    </row>
    <row r="368" spans="2:19" ht="12.75">
      <c r="B368" s="8" t="s">
        <v>245</v>
      </c>
      <c r="C368" s="17" t="s">
        <v>432</v>
      </c>
      <c r="D368" s="8" t="s">
        <v>57</v>
      </c>
      <c r="E368" s="8" t="s">
        <v>15</v>
      </c>
      <c r="F368" s="19" t="s">
        <v>102</v>
      </c>
      <c r="G368" s="5">
        <f t="shared" si="27"/>
        <v>4.896947305094327</v>
      </c>
      <c r="H368" s="19" t="s">
        <v>102</v>
      </c>
      <c r="I368" s="5">
        <f t="shared" si="28"/>
        <v>4.298132720857495</v>
      </c>
      <c r="J368" s="19" t="s">
        <v>102</v>
      </c>
      <c r="K368" s="5">
        <f t="shared" si="29"/>
        <v>4.261571561563015</v>
      </c>
      <c r="L368" s="19" t="s">
        <v>102</v>
      </c>
      <c r="M368" s="5">
        <f t="shared" si="30"/>
        <v>4.529198406714155</v>
      </c>
      <c r="N368" s="19" t="s">
        <v>102</v>
      </c>
      <c r="O368" s="5">
        <f t="shared" si="31"/>
        <v>4.444333477373824</v>
      </c>
      <c r="P368" s="19" t="s">
        <v>102</v>
      </c>
      <c r="Q368" s="5">
        <f t="shared" si="32"/>
        <v>4.407710158494178</v>
      </c>
      <c r="S368" s="56">
        <f t="shared" si="26"/>
        <v>4.472982271682832</v>
      </c>
    </row>
    <row r="369" spans="2:19" ht="12.75">
      <c r="B369" s="8" t="s">
        <v>246</v>
      </c>
      <c r="C369" s="17" t="s">
        <v>432</v>
      </c>
      <c r="D369" s="8" t="s">
        <v>57</v>
      </c>
      <c r="E369" s="8" t="s">
        <v>15</v>
      </c>
      <c r="F369" s="19" t="s">
        <v>102</v>
      </c>
      <c r="G369" s="5">
        <f t="shared" si="27"/>
        <v>2.4484736525471633</v>
      </c>
      <c r="H369" s="19" t="s">
        <v>102</v>
      </c>
      <c r="I369" s="5">
        <f t="shared" si="28"/>
        <v>2.1490663604287477</v>
      </c>
      <c r="J369" s="19" t="s">
        <v>102</v>
      </c>
      <c r="K369" s="5">
        <f t="shared" si="29"/>
        <v>2.1307857807815074</v>
      </c>
      <c r="L369" s="19" t="s">
        <v>102</v>
      </c>
      <c r="M369" s="5">
        <f t="shared" si="30"/>
        <v>2.2645992033570774</v>
      </c>
      <c r="N369" s="19" t="s">
        <v>102</v>
      </c>
      <c r="O369" s="5">
        <f t="shared" si="31"/>
        <v>2.222166738686912</v>
      </c>
      <c r="P369" s="19" t="s">
        <v>102</v>
      </c>
      <c r="Q369" s="5">
        <f t="shared" si="32"/>
        <v>2.203855079247089</v>
      </c>
      <c r="S369" s="56">
        <f t="shared" si="26"/>
        <v>2.236491135841416</v>
      </c>
    </row>
    <row r="370" spans="2:19" ht="12.75">
      <c r="B370" s="8" t="s">
        <v>247</v>
      </c>
      <c r="C370" s="17" t="s">
        <v>432</v>
      </c>
      <c r="D370" s="8" t="s">
        <v>57</v>
      </c>
      <c r="E370" s="8" t="s">
        <v>15</v>
      </c>
      <c r="F370" s="19" t="s">
        <v>102</v>
      </c>
      <c r="G370" s="5">
        <f t="shared" si="27"/>
        <v>2.4484736525471633</v>
      </c>
      <c r="H370" s="19" t="s">
        <v>102</v>
      </c>
      <c r="I370" s="5">
        <f t="shared" si="28"/>
        <v>2.1490663604287477</v>
      </c>
      <c r="J370" s="19" t="s">
        <v>102</v>
      </c>
      <c r="K370" s="5">
        <f t="shared" si="29"/>
        <v>2.1307857807815074</v>
      </c>
      <c r="L370" s="19" t="s">
        <v>102</v>
      </c>
      <c r="M370" s="5">
        <f t="shared" si="30"/>
        <v>2.2645992033570774</v>
      </c>
      <c r="N370" s="19" t="s">
        <v>102</v>
      </c>
      <c r="O370" s="5">
        <f t="shared" si="31"/>
        <v>2.222166738686912</v>
      </c>
      <c r="P370" s="19" t="s">
        <v>102</v>
      </c>
      <c r="Q370" s="5">
        <f t="shared" si="32"/>
        <v>2.203855079247089</v>
      </c>
      <c r="S370" s="56">
        <f t="shared" si="26"/>
        <v>2.236491135841416</v>
      </c>
    </row>
    <row r="371" spans="2:19" ht="12.75">
      <c r="B371" s="8" t="s">
        <v>248</v>
      </c>
      <c r="C371" s="17" t="s">
        <v>432</v>
      </c>
      <c r="D371" s="8" t="s">
        <v>57</v>
      </c>
      <c r="E371" s="8" t="s">
        <v>15</v>
      </c>
      <c r="F371" s="19" t="s">
        <v>102</v>
      </c>
      <c r="G371" s="5">
        <f t="shared" si="27"/>
        <v>2.4484736525471633</v>
      </c>
      <c r="H371" s="19" t="s">
        <v>102</v>
      </c>
      <c r="I371" s="5">
        <f t="shared" si="28"/>
        <v>2.1490663604287477</v>
      </c>
      <c r="J371" s="19" t="s">
        <v>102</v>
      </c>
      <c r="K371" s="5">
        <f t="shared" si="29"/>
        <v>2.1307857807815074</v>
      </c>
      <c r="L371" s="19" t="s">
        <v>102</v>
      </c>
      <c r="M371" s="5">
        <f t="shared" si="30"/>
        <v>2.2645992033570774</v>
      </c>
      <c r="N371" s="19" t="s">
        <v>102</v>
      </c>
      <c r="O371" s="5">
        <f t="shared" si="31"/>
        <v>2.222166738686912</v>
      </c>
      <c r="P371" s="19" t="s">
        <v>102</v>
      </c>
      <c r="Q371" s="5">
        <f t="shared" si="32"/>
        <v>2.203855079247089</v>
      </c>
      <c r="S371" s="56">
        <f t="shared" si="26"/>
        <v>2.236491135841416</v>
      </c>
    </row>
    <row r="372" spans="2:19" ht="12.75">
      <c r="B372" s="8" t="s">
        <v>249</v>
      </c>
      <c r="C372" s="17" t="s">
        <v>432</v>
      </c>
      <c r="D372" s="8" t="s">
        <v>57</v>
      </c>
      <c r="E372" s="8" t="s">
        <v>15</v>
      </c>
      <c r="F372" s="19" t="s">
        <v>102</v>
      </c>
      <c r="G372" s="5">
        <f t="shared" si="27"/>
        <v>2.4484736525471633</v>
      </c>
      <c r="H372" s="19" t="s">
        <v>102</v>
      </c>
      <c r="I372" s="5">
        <f t="shared" si="28"/>
        <v>2.1490663604287477</v>
      </c>
      <c r="J372" s="19" t="s">
        <v>102</v>
      </c>
      <c r="K372" s="5">
        <f t="shared" si="29"/>
        <v>2.1307857807815074</v>
      </c>
      <c r="L372" s="19" t="s">
        <v>102</v>
      </c>
      <c r="M372" s="5">
        <f t="shared" si="30"/>
        <v>2.2645992033570774</v>
      </c>
      <c r="N372" s="19" t="s">
        <v>102</v>
      </c>
      <c r="O372" s="5">
        <f t="shared" si="31"/>
        <v>2.222166738686912</v>
      </c>
      <c r="P372" s="19" t="s">
        <v>102</v>
      </c>
      <c r="Q372" s="5">
        <f t="shared" si="32"/>
        <v>2.203855079247089</v>
      </c>
      <c r="S372" s="56">
        <f t="shared" si="26"/>
        <v>2.236491135841416</v>
      </c>
    </row>
    <row r="373" spans="2:19" ht="12.75">
      <c r="B373" s="8" t="s">
        <v>250</v>
      </c>
      <c r="C373" s="17" t="s">
        <v>432</v>
      </c>
      <c r="D373" s="8" t="s">
        <v>57</v>
      </c>
      <c r="E373" s="8" t="s">
        <v>15</v>
      </c>
      <c r="F373" s="19" t="s">
        <v>102</v>
      </c>
      <c r="G373" s="5">
        <f t="shared" si="27"/>
        <v>2.4484736525471633</v>
      </c>
      <c r="H373" s="19" t="s">
        <v>102</v>
      </c>
      <c r="I373" s="5">
        <f t="shared" si="28"/>
        <v>2.1490663604287477</v>
      </c>
      <c r="J373" s="19" t="s">
        <v>102</v>
      </c>
      <c r="K373" s="5">
        <f t="shared" si="29"/>
        <v>2.1307857807815074</v>
      </c>
      <c r="L373" s="19" t="s">
        <v>102</v>
      </c>
      <c r="M373" s="5">
        <f t="shared" si="30"/>
        <v>2.2645992033570774</v>
      </c>
      <c r="N373" s="19" t="s">
        <v>102</v>
      </c>
      <c r="O373" s="5">
        <f t="shared" si="31"/>
        <v>2.222166738686912</v>
      </c>
      <c r="P373" s="19" t="s">
        <v>102</v>
      </c>
      <c r="Q373" s="5">
        <f t="shared" si="32"/>
        <v>2.203855079247089</v>
      </c>
      <c r="S373" s="56">
        <f t="shared" si="26"/>
        <v>2.236491135841416</v>
      </c>
    </row>
    <row r="374" spans="2:19" ht="12.75">
      <c r="B374" s="8" t="s">
        <v>251</v>
      </c>
      <c r="C374" s="17" t="s">
        <v>432</v>
      </c>
      <c r="D374" s="8" t="s">
        <v>57</v>
      </c>
      <c r="E374" s="8" t="s">
        <v>15</v>
      </c>
      <c r="F374" s="19" t="s">
        <v>102</v>
      </c>
      <c r="G374" s="5">
        <f t="shared" si="27"/>
        <v>2.4484736525471633</v>
      </c>
      <c r="H374" s="19" t="s">
        <v>102</v>
      </c>
      <c r="I374" s="5">
        <f t="shared" si="28"/>
        <v>2.1490663604287477</v>
      </c>
      <c r="J374" s="19" t="s">
        <v>102</v>
      </c>
      <c r="K374" s="5">
        <f t="shared" si="29"/>
        <v>2.1307857807815074</v>
      </c>
      <c r="L374" s="19" t="s">
        <v>102</v>
      </c>
      <c r="M374" s="5">
        <f t="shared" si="30"/>
        <v>2.2645992033570774</v>
      </c>
      <c r="N374" s="19" t="s">
        <v>102</v>
      </c>
      <c r="O374" s="5">
        <f t="shared" si="31"/>
        <v>2.222166738686912</v>
      </c>
      <c r="P374" s="19" t="s">
        <v>102</v>
      </c>
      <c r="Q374" s="5">
        <f t="shared" si="32"/>
        <v>2.203855079247089</v>
      </c>
      <c r="S374" s="56">
        <f t="shared" si="26"/>
        <v>2.236491135841416</v>
      </c>
    </row>
    <row r="375" spans="2:19" ht="12.75">
      <c r="B375" s="8" t="s">
        <v>252</v>
      </c>
      <c r="C375" s="17" t="s">
        <v>432</v>
      </c>
      <c r="D375" s="8" t="s">
        <v>57</v>
      </c>
      <c r="E375" s="8" t="s">
        <v>15</v>
      </c>
      <c r="F375" s="19" t="s">
        <v>102</v>
      </c>
      <c r="G375" s="5">
        <f t="shared" si="27"/>
        <v>2.4484736525471633</v>
      </c>
      <c r="H375" s="19" t="s">
        <v>102</v>
      </c>
      <c r="I375" s="5">
        <f t="shared" si="28"/>
        <v>2.1490663604287477</v>
      </c>
      <c r="J375" s="19" t="s">
        <v>102</v>
      </c>
      <c r="K375" s="5">
        <f t="shared" si="29"/>
        <v>2.1307857807815074</v>
      </c>
      <c r="L375" s="19" t="s">
        <v>102</v>
      </c>
      <c r="M375" s="5">
        <f t="shared" si="30"/>
        <v>2.2645992033570774</v>
      </c>
      <c r="N375" s="19" t="s">
        <v>102</v>
      </c>
      <c r="O375" s="5">
        <f t="shared" si="31"/>
        <v>2.222166738686912</v>
      </c>
      <c r="P375" s="19" t="s">
        <v>102</v>
      </c>
      <c r="Q375" s="5">
        <f t="shared" si="32"/>
        <v>2.203855079247089</v>
      </c>
      <c r="S375" s="56">
        <f t="shared" si="26"/>
        <v>2.236491135841416</v>
      </c>
    </row>
    <row r="376" spans="2:19" ht="12.75">
      <c r="B376" s="8" t="s">
        <v>253</v>
      </c>
      <c r="C376" s="17" t="s">
        <v>432</v>
      </c>
      <c r="D376" s="8" t="s">
        <v>57</v>
      </c>
      <c r="E376" s="8" t="s">
        <v>15</v>
      </c>
      <c r="G376" s="5">
        <f t="shared" si="27"/>
        <v>1407.8723502146186</v>
      </c>
      <c r="I376" s="5">
        <f t="shared" si="28"/>
        <v>3.1161462226216843</v>
      </c>
      <c r="K376" s="5">
        <f t="shared" si="29"/>
        <v>22.37325069820583</v>
      </c>
      <c r="M376" s="5">
        <f t="shared" si="30"/>
        <v>3.963048605874885</v>
      </c>
      <c r="O376" s="5">
        <f t="shared" si="31"/>
        <v>4.333225140439478</v>
      </c>
      <c r="Q376" s="5">
        <f t="shared" si="32"/>
        <v>6.6115652377412655</v>
      </c>
      <c r="S376" s="56">
        <f t="shared" si="26"/>
        <v>241.37826435325027</v>
      </c>
    </row>
    <row r="377" spans="2:19" ht="12.75">
      <c r="B377" s="8" t="s">
        <v>254</v>
      </c>
      <c r="C377" s="17" t="s">
        <v>432</v>
      </c>
      <c r="D377" s="8" t="s">
        <v>57</v>
      </c>
      <c r="E377" s="8" t="s">
        <v>15</v>
      </c>
      <c r="F377" s="19" t="s">
        <v>102</v>
      </c>
      <c r="G377" s="5">
        <f t="shared" si="27"/>
        <v>2.4484736525471633</v>
      </c>
      <c r="H377" s="19" t="s">
        <v>102</v>
      </c>
      <c r="I377" s="5">
        <f t="shared" si="28"/>
        <v>2.1490663604287477</v>
      </c>
      <c r="J377" s="19" t="s">
        <v>102</v>
      </c>
      <c r="K377" s="5">
        <f t="shared" si="29"/>
        <v>2.1307857807815074</v>
      </c>
      <c r="L377" s="19" t="s">
        <v>102</v>
      </c>
      <c r="M377" s="5">
        <f t="shared" si="30"/>
        <v>2.2645992033570774</v>
      </c>
      <c r="N377" s="19" t="s">
        <v>102</v>
      </c>
      <c r="O377" s="5">
        <f t="shared" si="31"/>
        <v>2.222166738686912</v>
      </c>
      <c r="P377" s="19" t="s">
        <v>102</v>
      </c>
      <c r="Q377" s="5">
        <f t="shared" si="32"/>
        <v>2.203855079247089</v>
      </c>
      <c r="S377" s="56">
        <f t="shared" si="26"/>
        <v>2.236491135841416</v>
      </c>
    </row>
    <row r="378" spans="2:19" ht="12.75">
      <c r="B378" s="8" t="s">
        <v>255</v>
      </c>
      <c r="C378" s="17" t="s">
        <v>432</v>
      </c>
      <c r="D378" s="8" t="s">
        <v>57</v>
      </c>
      <c r="E378" s="8" t="s">
        <v>15</v>
      </c>
      <c r="F378" s="19" t="s">
        <v>102</v>
      </c>
      <c r="G378" s="5">
        <f t="shared" si="27"/>
        <v>2.4484736525471633</v>
      </c>
      <c r="H378" s="19" t="s">
        <v>102</v>
      </c>
      <c r="I378" s="5">
        <f t="shared" si="28"/>
        <v>2.1490663604287477</v>
      </c>
      <c r="J378" s="19" t="s">
        <v>102</v>
      </c>
      <c r="K378" s="5">
        <f t="shared" si="29"/>
        <v>2.1307857807815074</v>
      </c>
      <c r="L378" s="19" t="s">
        <v>102</v>
      </c>
      <c r="M378" s="5">
        <f t="shared" si="30"/>
        <v>2.2645992033570774</v>
      </c>
      <c r="N378" s="19" t="s">
        <v>102</v>
      </c>
      <c r="O378" s="5">
        <f t="shared" si="31"/>
        <v>2.222166738686912</v>
      </c>
      <c r="P378" s="19" t="s">
        <v>102</v>
      </c>
      <c r="Q378" s="5">
        <f t="shared" si="32"/>
        <v>2.203855079247089</v>
      </c>
      <c r="S378" s="56">
        <f t="shared" si="26"/>
        <v>2.236491135841416</v>
      </c>
    </row>
    <row r="379" spans="2:19" ht="12.75">
      <c r="B379" s="8" t="s">
        <v>256</v>
      </c>
      <c r="C379" s="17" t="s">
        <v>432</v>
      </c>
      <c r="D379" s="8" t="s">
        <v>57</v>
      </c>
      <c r="E379" s="8" t="s">
        <v>15</v>
      </c>
      <c r="F379" s="19" t="s">
        <v>102</v>
      </c>
      <c r="G379" s="5">
        <f t="shared" si="27"/>
        <v>2.4484736525471633</v>
      </c>
      <c r="H379" s="19" t="s">
        <v>102</v>
      </c>
      <c r="I379" s="5">
        <f t="shared" si="28"/>
        <v>2.1490663604287477</v>
      </c>
      <c r="J379" s="19" t="s">
        <v>102</v>
      </c>
      <c r="K379" s="5">
        <f t="shared" si="29"/>
        <v>2.1307857807815074</v>
      </c>
      <c r="L379" s="19" t="s">
        <v>102</v>
      </c>
      <c r="M379" s="5">
        <f t="shared" si="30"/>
        <v>2.2645992033570774</v>
      </c>
      <c r="N379" s="19" t="s">
        <v>102</v>
      </c>
      <c r="O379" s="5">
        <f t="shared" si="31"/>
        <v>2.222166738686912</v>
      </c>
      <c r="P379" s="19" t="s">
        <v>102</v>
      </c>
      <c r="Q379" s="5">
        <f t="shared" si="32"/>
        <v>2.203855079247089</v>
      </c>
      <c r="S379" s="56">
        <f t="shared" si="26"/>
        <v>2.236491135841416</v>
      </c>
    </row>
    <row r="380" spans="2:19" ht="12.75">
      <c r="B380" s="8" t="s">
        <v>257</v>
      </c>
      <c r="C380" s="17" t="s">
        <v>432</v>
      </c>
      <c r="D380" s="8" t="s">
        <v>57</v>
      </c>
      <c r="E380" s="8" t="s">
        <v>15</v>
      </c>
      <c r="F380" s="19" t="s">
        <v>102</v>
      </c>
      <c r="G380" s="5">
        <f t="shared" si="27"/>
        <v>2.4484736525471633</v>
      </c>
      <c r="H380" s="19" t="s">
        <v>102</v>
      </c>
      <c r="I380" s="5">
        <f t="shared" si="28"/>
        <v>2.1490663604287477</v>
      </c>
      <c r="J380" s="19" t="s">
        <v>102</v>
      </c>
      <c r="K380" s="5">
        <f t="shared" si="29"/>
        <v>2.1307857807815074</v>
      </c>
      <c r="L380" s="19" t="s">
        <v>102</v>
      </c>
      <c r="M380" s="5">
        <f t="shared" si="30"/>
        <v>2.2645992033570774</v>
      </c>
      <c r="N380" s="19" t="s">
        <v>102</v>
      </c>
      <c r="O380" s="5">
        <f t="shared" si="31"/>
        <v>2.222166738686912</v>
      </c>
      <c r="P380" s="19" t="s">
        <v>102</v>
      </c>
      <c r="Q380" s="5">
        <f t="shared" si="32"/>
        <v>2.203855079247089</v>
      </c>
      <c r="S380" s="56">
        <f t="shared" si="26"/>
        <v>2.236491135841416</v>
      </c>
    </row>
    <row r="381" spans="2:19" ht="12.75">
      <c r="B381" s="8" t="s">
        <v>258</v>
      </c>
      <c r="C381" s="17" t="s">
        <v>432</v>
      </c>
      <c r="D381" s="8" t="s">
        <v>57</v>
      </c>
      <c r="E381" s="8" t="s">
        <v>15</v>
      </c>
      <c r="F381" s="19" t="s">
        <v>102</v>
      </c>
      <c r="G381" s="5">
        <f t="shared" si="27"/>
        <v>2.4484736525471633</v>
      </c>
      <c r="H381" s="19" t="s">
        <v>102</v>
      </c>
      <c r="I381" s="5">
        <f t="shared" si="28"/>
        <v>2.1490663604287477</v>
      </c>
      <c r="J381" s="19" t="s">
        <v>102</v>
      </c>
      <c r="K381" s="5">
        <f t="shared" si="29"/>
        <v>2.1307857807815074</v>
      </c>
      <c r="L381" s="19" t="s">
        <v>102</v>
      </c>
      <c r="M381" s="5">
        <f t="shared" si="30"/>
        <v>2.2645992033570774</v>
      </c>
      <c r="N381" s="19" t="s">
        <v>102</v>
      </c>
      <c r="O381" s="5">
        <f t="shared" si="31"/>
        <v>2.222166738686912</v>
      </c>
      <c r="P381" s="19" t="s">
        <v>102</v>
      </c>
      <c r="Q381" s="5">
        <f t="shared" si="32"/>
        <v>2.203855079247089</v>
      </c>
      <c r="S381" s="56">
        <f t="shared" si="26"/>
        <v>2.236491135841416</v>
      </c>
    </row>
    <row r="382" spans="2:19" ht="12.75">
      <c r="B382" s="8" t="s">
        <v>259</v>
      </c>
      <c r="C382" s="17" t="s">
        <v>432</v>
      </c>
      <c r="D382" s="8" t="s">
        <v>57</v>
      </c>
      <c r="E382" s="8" t="s">
        <v>15</v>
      </c>
      <c r="F382" s="19" t="s">
        <v>102</v>
      </c>
      <c r="G382" s="5">
        <f t="shared" si="27"/>
        <v>2.4484736525471633</v>
      </c>
      <c r="H382" s="19" t="s">
        <v>102</v>
      </c>
      <c r="I382" s="5">
        <f t="shared" si="28"/>
        <v>2.1490663604287477</v>
      </c>
      <c r="J382" s="19" t="s">
        <v>102</v>
      </c>
      <c r="K382" s="5">
        <f t="shared" si="29"/>
        <v>2.1307857807815074</v>
      </c>
      <c r="L382" s="19" t="s">
        <v>102</v>
      </c>
      <c r="M382" s="5">
        <f t="shared" si="30"/>
        <v>2.2645992033570774</v>
      </c>
      <c r="N382" s="19" t="s">
        <v>102</v>
      </c>
      <c r="O382" s="5">
        <f t="shared" si="31"/>
        <v>2.222166738686912</v>
      </c>
      <c r="P382" s="19" t="s">
        <v>102</v>
      </c>
      <c r="Q382" s="5">
        <f t="shared" si="32"/>
        <v>2.203855079247089</v>
      </c>
      <c r="S382" s="56">
        <f t="shared" si="26"/>
        <v>2.236491135841416</v>
      </c>
    </row>
    <row r="383" spans="2:19" ht="12.75">
      <c r="B383" s="8" t="s">
        <v>260</v>
      </c>
      <c r="C383" s="17" t="s">
        <v>432</v>
      </c>
      <c r="D383" s="8" t="s">
        <v>57</v>
      </c>
      <c r="E383" s="8" t="s">
        <v>15</v>
      </c>
      <c r="F383" s="19" t="s">
        <v>102</v>
      </c>
      <c r="G383" s="5">
        <f t="shared" si="27"/>
        <v>2.4484736525471633</v>
      </c>
      <c r="H383" s="19" t="s">
        <v>102</v>
      </c>
      <c r="I383" s="5">
        <f t="shared" si="28"/>
        <v>2.1490663604287477</v>
      </c>
      <c r="J383" s="19" t="s">
        <v>102</v>
      </c>
      <c r="K383" s="5">
        <f t="shared" si="29"/>
        <v>2.1307857807815074</v>
      </c>
      <c r="L383" s="19" t="s">
        <v>102</v>
      </c>
      <c r="M383" s="5">
        <f t="shared" si="30"/>
        <v>2.2645992033570774</v>
      </c>
      <c r="N383" s="19" t="s">
        <v>102</v>
      </c>
      <c r="O383" s="5">
        <f t="shared" si="31"/>
        <v>2.222166738686912</v>
      </c>
      <c r="P383" s="19" t="s">
        <v>102</v>
      </c>
      <c r="Q383" s="5">
        <f t="shared" si="32"/>
        <v>2.203855079247089</v>
      </c>
      <c r="S383" s="56">
        <f t="shared" si="26"/>
        <v>2.236491135841416</v>
      </c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O278"/>
  <sheetViews>
    <sheetView zoomScale="80" zoomScaleNormal="80" workbookViewId="0" topLeftCell="B1">
      <selection activeCell="B2" sqref="B2"/>
    </sheetView>
  </sheetViews>
  <sheetFormatPr defaultColWidth="9.140625" defaultRowHeight="12.75"/>
  <cols>
    <col min="1" max="1" width="5.28125" style="0" hidden="1" customWidth="1"/>
    <col min="2" max="2" width="21.00390625" style="0" bestFit="1" customWidth="1"/>
    <col min="3" max="3" width="10.8515625" style="0" customWidth="1"/>
    <col min="5" max="5" width="3.7109375" style="0" customWidth="1"/>
    <col min="6" max="6" width="3.28125" style="50" customWidth="1"/>
    <col min="8" max="8" width="4.57421875" style="50" customWidth="1"/>
    <col min="10" max="10" width="5.140625" style="50" customWidth="1"/>
    <col min="12" max="12" width="3.28125" style="50" customWidth="1"/>
    <col min="14" max="14" width="3.57421875" style="50" customWidth="1"/>
    <col min="16" max="16" width="3.7109375" style="50" customWidth="1"/>
    <col min="18" max="18" width="1.7109375" style="50" customWidth="1"/>
    <col min="20" max="20" width="2.00390625" style="50" customWidth="1"/>
    <col min="22" max="22" width="4.57421875" style="50" customWidth="1"/>
    <col min="24" max="24" width="0" style="0" hidden="1" customWidth="1"/>
    <col min="25" max="26" width="9.140625" style="0" hidden="1" customWidth="1"/>
    <col min="27" max="28" width="0" style="0" hidden="1" customWidth="1"/>
    <col min="30" max="30" width="2.7109375" style="0" customWidth="1"/>
    <col min="32" max="32" width="2.7109375" style="0" customWidth="1"/>
    <col min="34" max="34" width="2.421875" style="0" customWidth="1"/>
    <col min="36" max="36" width="2.00390625" style="0" customWidth="1"/>
    <col min="38" max="38" width="2.57421875" style="0" customWidth="1"/>
  </cols>
  <sheetData>
    <row r="1" ht="12.75">
      <c r="B1" s="6" t="s">
        <v>387</v>
      </c>
    </row>
    <row r="2" ht="12.75">
      <c r="B2" s="6"/>
    </row>
    <row r="4" spans="1:23" ht="12.75">
      <c r="A4">
        <v>1</v>
      </c>
      <c r="B4" s="6" t="s">
        <v>291</v>
      </c>
      <c r="G4" s="50" t="s">
        <v>316</v>
      </c>
      <c r="I4" s="50" t="s">
        <v>317</v>
      </c>
      <c r="K4" s="50" t="s">
        <v>318</v>
      </c>
      <c r="M4" s="50" t="s">
        <v>319</v>
      </c>
      <c r="O4" s="50" t="s">
        <v>320</v>
      </c>
      <c r="Q4" s="50" t="s">
        <v>321</v>
      </c>
      <c r="S4" s="50" t="s">
        <v>322</v>
      </c>
      <c r="U4" s="50" t="s">
        <v>323</v>
      </c>
      <c r="W4" s="50" t="s">
        <v>47</v>
      </c>
    </row>
    <row r="6" spans="2:31" s="88" customFormat="1" ht="12.75">
      <c r="B6" s="88" t="s">
        <v>13</v>
      </c>
      <c r="C6" s="88" t="s">
        <v>421</v>
      </c>
      <c r="D6" s="88" t="s">
        <v>14</v>
      </c>
      <c r="E6" s="88" t="s">
        <v>15</v>
      </c>
      <c r="F6" s="120" t="s">
        <v>324</v>
      </c>
      <c r="G6" s="90">
        <v>0.0030309579018556704</v>
      </c>
      <c r="H6" s="122" t="s">
        <v>324</v>
      </c>
      <c r="I6" s="90">
        <v>0.003474698377662874</v>
      </c>
      <c r="J6" s="122" t="s">
        <v>324</v>
      </c>
      <c r="K6" s="90">
        <v>0.0016666832</v>
      </c>
      <c r="L6" s="122" t="s">
        <v>324</v>
      </c>
      <c r="N6" s="122" t="s">
        <v>324</v>
      </c>
      <c r="O6" s="90"/>
      <c r="P6" s="122" t="s">
        <v>324</v>
      </c>
      <c r="Q6" s="90"/>
      <c r="R6" s="122" t="s">
        <v>324</v>
      </c>
      <c r="S6" s="90"/>
      <c r="T6" s="122" t="s">
        <v>324</v>
      </c>
      <c r="U6" s="90"/>
      <c r="V6" s="120" t="s">
        <v>324</v>
      </c>
      <c r="W6" s="90">
        <f aca="true" t="shared" si="0" ref="W6:W21">AVERAGE(G6,I6,K6)</f>
        <v>0.0027241131598395147</v>
      </c>
      <c r="X6" s="90"/>
      <c r="Y6" s="90"/>
      <c r="Z6" s="90"/>
      <c r="AA6" s="90"/>
      <c r="AB6" s="88">
        <v>0.002724113159839515</v>
      </c>
      <c r="AC6"/>
      <c r="AD6"/>
      <c r="AE6"/>
    </row>
    <row r="7" spans="2:31" s="88" customFormat="1" ht="12.75">
      <c r="B7" s="88" t="s">
        <v>108</v>
      </c>
      <c r="C7" s="88" t="s">
        <v>421</v>
      </c>
      <c r="D7" s="88" t="s">
        <v>16</v>
      </c>
      <c r="E7" s="88" t="s">
        <v>15</v>
      </c>
      <c r="F7" s="120" t="s">
        <v>324</v>
      </c>
      <c r="G7" s="91">
        <v>38.07365439093484</v>
      </c>
      <c r="H7" s="123" t="s">
        <v>324</v>
      </c>
      <c r="I7" s="91">
        <v>29.212310902451748</v>
      </c>
      <c r="J7" s="123" t="s">
        <v>324</v>
      </c>
      <c r="K7" s="91">
        <v>34.84848484848485</v>
      </c>
      <c r="L7" s="120" t="s">
        <v>324</v>
      </c>
      <c r="N7" s="120" t="s">
        <v>324</v>
      </c>
      <c r="O7" s="89"/>
      <c r="P7" s="120" t="s">
        <v>324</v>
      </c>
      <c r="Q7" s="89"/>
      <c r="R7" s="120" t="s">
        <v>324</v>
      </c>
      <c r="S7" s="89"/>
      <c r="T7" s="120" t="s">
        <v>324</v>
      </c>
      <c r="U7" s="89"/>
      <c r="V7" s="120" t="s">
        <v>324</v>
      </c>
      <c r="W7" s="91">
        <f t="shared" si="0"/>
        <v>34.04481671395715</v>
      </c>
      <c r="X7" s="89"/>
      <c r="Y7" s="89"/>
      <c r="Z7" s="89"/>
      <c r="AA7" s="89"/>
      <c r="AB7" s="88">
        <v>34.04481671395715</v>
      </c>
      <c r="AC7"/>
      <c r="AD7"/>
      <c r="AE7"/>
    </row>
    <row r="8" spans="2:31" s="88" customFormat="1" ht="12.75">
      <c r="B8" s="88" t="s">
        <v>65</v>
      </c>
      <c r="C8" s="88" t="s">
        <v>421</v>
      </c>
      <c r="D8" s="88" t="s">
        <v>16</v>
      </c>
      <c r="E8" s="88" t="s">
        <v>15</v>
      </c>
      <c r="F8" s="120" t="s">
        <v>324</v>
      </c>
      <c r="G8" s="91">
        <v>0.3028586144733454</v>
      </c>
      <c r="H8" s="123" t="s">
        <v>324</v>
      </c>
      <c r="I8" s="91">
        <v>0.46739697443922795</v>
      </c>
      <c r="J8" s="123" t="s">
        <v>324</v>
      </c>
      <c r="K8" s="91">
        <v>0.24242424242424243</v>
      </c>
      <c r="L8" s="120" t="s">
        <v>324</v>
      </c>
      <c r="N8" s="120" t="s">
        <v>324</v>
      </c>
      <c r="O8" s="89"/>
      <c r="P8" s="120" t="s">
        <v>324</v>
      </c>
      <c r="Q8" s="89"/>
      <c r="R8" s="120" t="s">
        <v>324</v>
      </c>
      <c r="S8" s="89"/>
      <c r="T8" s="120" t="s">
        <v>324</v>
      </c>
      <c r="U8" s="89"/>
      <c r="V8" s="120" t="s">
        <v>324</v>
      </c>
      <c r="W8" s="91">
        <f t="shared" si="0"/>
        <v>0.33755994377893855</v>
      </c>
      <c r="X8" s="89"/>
      <c r="Y8" s="89"/>
      <c r="Z8" s="89"/>
      <c r="AA8" s="89"/>
      <c r="AB8" s="88">
        <v>0.33755994377893855</v>
      </c>
      <c r="AC8"/>
      <c r="AD8"/>
      <c r="AE8"/>
    </row>
    <row r="9" spans="2:31" s="88" customFormat="1" ht="12.75">
      <c r="B9" s="88" t="s">
        <v>50</v>
      </c>
      <c r="C9" s="88" t="s">
        <v>421</v>
      </c>
      <c r="D9" s="88" t="s">
        <v>16</v>
      </c>
      <c r="E9" s="88" t="s">
        <v>15</v>
      </c>
      <c r="F9" s="120" t="s">
        <v>324</v>
      </c>
      <c r="G9" s="91">
        <v>0.18552409559745262</v>
      </c>
      <c r="H9" s="123" t="s">
        <v>102</v>
      </c>
      <c r="I9" s="91">
        <v>0.1930976864948081</v>
      </c>
      <c r="J9" s="123" t="s">
        <v>324</v>
      </c>
      <c r="K9" s="91">
        <v>0.3354388554559564</v>
      </c>
      <c r="L9" s="120" t="s">
        <v>324</v>
      </c>
      <c r="N9" s="120" t="s">
        <v>324</v>
      </c>
      <c r="O9" s="89"/>
      <c r="P9" s="120" t="s">
        <v>324</v>
      </c>
      <c r="Q9" s="89"/>
      <c r="R9" s="120" t="s">
        <v>324</v>
      </c>
      <c r="S9" s="89"/>
      <c r="T9" s="120" t="s">
        <v>324</v>
      </c>
      <c r="U9" s="89"/>
      <c r="V9" s="120" t="s">
        <v>324</v>
      </c>
      <c r="W9" s="91">
        <f t="shared" si="0"/>
        <v>0.2380202125160724</v>
      </c>
      <c r="X9" s="89"/>
      <c r="Y9" s="89"/>
      <c r="Z9" s="89"/>
      <c r="AA9" s="89"/>
      <c r="AB9" s="88">
        <v>0.2380202125160724</v>
      </c>
      <c r="AC9"/>
      <c r="AD9"/>
      <c r="AE9"/>
    </row>
    <row r="10" spans="2:31" s="88" customFormat="1" ht="12.75">
      <c r="B10" s="88" t="s">
        <v>51</v>
      </c>
      <c r="C10" s="88" t="s">
        <v>421</v>
      </c>
      <c r="D10" s="88" t="s">
        <v>16</v>
      </c>
      <c r="E10" s="88" t="s">
        <v>15</v>
      </c>
      <c r="F10" s="120" t="s">
        <v>102</v>
      </c>
      <c r="G10" s="91">
        <v>0.047689374361968614</v>
      </c>
      <c r="H10" s="123" t="s">
        <v>324</v>
      </c>
      <c r="I10" s="91">
        <v>0.14890854737804843</v>
      </c>
      <c r="J10" s="123" t="s">
        <v>102</v>
      </c>
      <c r="K10" s="91">
        <v>0.07390739239191786</v>
      </c>
      <c r="L10" s="120" t="s">
        <v>324</v>
      </c>
      <c r="N10" s="120" t="s">
        <v>324</v>
      </c>
      <c r="O10" s="89"/>
      <c r="P10" s="120" t="s">
        <v>324</v>
      </c>
      <c r="Q10" s="89"/>
      <c r="R10" s="120" t="s">
        <v>324</v>
      </c>
      <c r="S10" s="89"/>
      <c r="T10" s="120" t="s">
        <v>324</v>
      </c>
      <c r="U10" s="89"/>
      <c r="V10" s="120" t="s">
        <v>324</v>
      </c>
      <c r="W10" s="91">
        <f t="shared" si="0"/>
        <v>0.0901684380439783</v>
      </c>
      <c r="X10" s="89"/>
      <c r="Y10" s="89"/>
      <c r="Z10" s="89"/>
      <c r="AA10" s="89"/>
      <c r="AB10" s="88">
        <v>0.0901684380439783</v>
      </c>
      <c r="AC10"/>
      <c r="AD10"/>
      <c r="AE10"/>
    </row>
    <row r="11" spans="2:31" s="88" customFormat="1" ht="12.75">
      <c r="B11" s="88" t="s">
        <v>420</v>
      </c>
      <c r="C11" s="88" t="s">
        <v>421</v>
      </c>
      <c r="D11" s="88" t="s">
        <v>16</v>
      </c>
      <c r="E11" s="88" t="s">
        <v>15</v>
      </c>
      <c r="F11" s="120">
        <f>G10*2/G11*100</f>
        <v>33.954354913833264</v>
      </c>
      <c r="G11" s="91">
        <f>G9+2*G10</f>
        <v>0.28090284432138984</v>
      </c>
      <c r="H11" s="123">
        <f>I9/I11*100</f>
        <v>39.334257975034674</v>
      </c>
      <c r="I11" s="91">
        <f>I9+2*I10</f>
        <v>0.49091478125090493</v>
      </c>
      <c r="J11" s="123">
        <f>K10*2/K11*100</f>
        <v>30.587412587412587</v>
      </c>
      <c r="K11" s="91">
        <f>K9+2*K10</f>
        <v>0.4832536402397921</v>
      </c>
      <c r="L11" s="120"/>
      <c r="N11" s="120"/>
      <c r="O11" s="89"/>
      <c r="P11" s="120"/>
      <c r="Q11" s="89"/>
      <c r="R11" s="120"/>
      <c r="S11" s="89"/>
      <c r="T11" s="120"/>
      <c r="U11" s="89"/>
      <c r="V11" s="120">
        <f>(F11*G11+H11*I11+J11*K11)/(3*W11)</f>
        <v>34.76226664469775</v>
      </c>
      <c r="W11" s="91">
        <f t="shared" si="0"/>
        <v>0.41835708860402904</v>
      </c>
      <c r="X11" s="91"/>
      <c r="Y11" s="91"/>
      <c r="Z11" s="91"/>
      <c r="AA11" s="91"/>
      <c r="AC11"/>
      <c r="AD11"/>
      <c r="AE11"/>
    </row>
    <row r="12" spans="2:31" s="88" customFormat="1" ht="12.75">
      <c r="B12" s="88" t="s">
        <v>325</v>
      </c>
      <c r="C12" s="88" t="s">
        <v>422</v>
      </c>
      <c r="D12" s="88" t="s">
        <v>57</v>
      </c>
      <c r="E12" s="88" t="s">
        <v>15</v>
      </c>
      <c r="F12" s="120" t="s">
        <v>324</v>
      </c>
      <c r="G12" s="91">
        <v>14.577</v>
      </c>
      <c r="H12" s="123" t="s">
        <v>324</v>
      </c>
      <c r="I12" s="91">
        <v>8.105</v>
      </c>
      <c r="J12" s="123" t="s">
        <v>324</v>
      </c>
      <c r="K12" s="91">
        <v>5.011</v>
      </c>
      <c r="L12" s="120" t="s">
        <v>324</v>
      </c>
      <c r="N12" s="120" t="s">
        <v>324</v>
      </c>
      <c r="O12" s="89"/>
      <c r="P12" s="120" t="s">
        <v>324</v>
      </c>
      <c r="Q12" s="89"/>
      <c r="R12" s="120" t="s">
        <v>324</v>
      </c>
      <c r="S12" s="89"/>
      <c r="T12" s="120" t="s">
        <v>324</v>
      </c>
      <c r="U12" s="89"/>
      <c r="V12" s="120" t="s">
        <v>324</v>
      </c>
      <c r="W12" s="91">
        <f t="shared" si="0"/>
        <v>9.231</v>
      </c>
      <c r="X12" s="89"/>
      <c r="Y12" s="89"/>
      <c r="Z12" s="89"/>
      <c r="AA12" s="89"/>
      <c r="AB12" s="88">
        <v>9.231</v>
      </c>
      <c r="AC12"/>
      <c r="AD12"/>
      <c r="AE12"/>
    </row>
    <row r="13" spans="2:31" s="88" customFormat="1" ht="12.75">
      <c r="B13" s="88" t="s">
        <v>105</v>
      </c>
      <c r="C13" s="88" t="s">
        <v>422</v>
      </c>
      <c r="D13" s="88" t="s">
        <v>57</v>
      </c>
      <c r="E13" s="88" t="s">
        <v>15</v>
      </c>
      <c r="F13" s="120" t="s">
        <v>324</v>
      </c>
      <c r="G13" s="91">
        <v>8.515</v>
      </c>
      <c r="H13" s="123" t="s">
        <v>324</v>
      </c>
      <c r="I13" s="91">
        <v>4.421</v>
      </c>
      <c r="J13" s="123" t="s">
        <v>324</v>
      </c>
      <c r="K13" s="91">
        <v>5.77</v>
      </c>
      <c r="L13" s="120" t="s">
        <v>324</v>
      </c>
      <c r="N13" s="120" t="s">
        <v>324</v>
      </c>
      <c r="O13" s="89"/>
      <c r="P13" s="120" t="s">
        <v>324</v>
      </c>
      <c r="Q13" s="89"/>
      <c r="R13" s="120" t="s">
        <v>324</v>
      </c>
      <c r="S13" s="89"/>
      <c r="T13" s="120" t="s">
        <v>324</v>
      </c>
      <c r="U13" s="89"/>
      <c r="V13" s="120" t="s">
        <v>324</v>
      </c>
      <c r="W13" s="91">
        <f t="shared" si="0"/>
        <v>6.235333333333333</v>
      </c>
      <c r="X13" s="89"/>
      <c r="Y13" s="89"/>
      <c r="Z13" s="89"/>
      <c r="AA13" s="89"/>
      <c r="AB13" s="88">
        <v>6.235333333333333</v>
      </c>
      <c r="AC13"/>
      <c r="AD13"/>
      <c r="AE13"/>
    </row>
    <row r="14" spans="2:31" s="88" customFormat="1" ht="12.75">
      <c r="B14" s="88" t="s">
        <v>84</v>
      </c>
      <c r="C14" s="88" t="s">
        <v>422</v>
      </c>
      <c r="D14" s="88" t="s">
        <v>57</v>
      </c>
      <c r="E14" s="88" t="s">
        <v>15</v>
      </c>
      <c r="F14" s="120" t="s">
        <v>102</v>
      </c>
      <c r="G14" s="91">
        <v>0.289</v>
      </c>
      <c r="H14" s="123" t="s">
        <v>324</v>
      </c>
      <c r="I14" s="91">
        <v>3.684E-05</v>
      </c>
      <c r="J14" s="123" t="s">
        <v>324</v>
      </c>
      <c r="K14" s="91">
        <v>0.152</v>
      </c>
      <c r="L14" s="120" t="s">
        <v>324</v>
      </c>
      <c r="N14" s="120" t="s">
        <v>324</v>
      </c>
      <c r="O14" s="89"/>
      <c r="P14" s="120" t="s">
        <v>324</v>
      </c>
      <c r="Q14" s="89"/>
      <c r="R14" s="120" t="s">
        <v>324</v>
      </c>
      <c r="S14" s="89"/>
      <c r="T14" s="120" t="s">
        <v>324</v>
      </c>
      <c r="U14" s="89"/>
      <c r="V14" s="120" t="s">
        <v>324</v>
      </c>
      <c r="W14" s="91">
        <f t="shared" si="0"/>
        <v>0.14701228</v>
      </c>
      <c r="X14" s="89"/>
      <c r="Y14" s="89"/>
      <c r="Z14" s="89"/>
      <c r="AA14" s="89"/>
      <c r="AB14" s="88">
        <v>0.14701228</v>
      </c>
      <c r="AC14"/>
      <c r="AD14"/>
      <c r="AE14"/>
    </row>
    <row r="15" spans="2:31" s="88" customFormat="1" ht="12.75">
      <c r="B15" s="88" t="s">
        <v>106</v>
      </c>
      <c r="C15" s="88" t="s">
        <v>422</v>
      </c>
      <c r="D15" s="88" t="s">
        <v>57</v>
      </c>
      <c r="E15" s="88" t="s">
        <v>15</v>
      </c>
      <c r="F15" s="120" t="s">
        <v>324</v>
      </c>
      <c r="G15" s="91">
        <v>6.062</v>
      </c>
      <c r="H15" s="123" t="s">
        <v>324</v>
      </c>
      <c r="I15" s="91">
        <v>12.232</v>
      </c>
      <c r="J15" s="123" t="s">
        <v>324</v>
      </c>
      <c r="K15" s="91">
        <v>15.792</v>
      </c>
      <c r="L15" s="120" t="s">
        <v>324</v>
      </c>
      <c r="N15" s="120" t="s">
        <v>324</v>
      </c>
      <c r="O15" s="89"/>
      <c r="P15" s="120" t="s">
        <v>324</v>
      </c>
      <c r="Q15" s="89"/>
      <c r="R15" s="120" t="s">
        <v>324</v>
      </c>
      <c r="S15" s="89"/>
      <c r="T15" s="120" t="s">
        <v>324</v>
      </c>
      <c r="U15" s="89"/>
      <c r="V15" s="120" t="s">
        <v>324</v>
      </c>
      <c r="W15" s="91">
        <f t="shared" si="0"/>
        <v>11.362</v>
      </c>
      <c r="X15" s="89"/>
      <c r="Y15" s="89"/>
      <c r="Z15" s="89"/>
      <c r="AA15" s="89"/>
      <c r="AB15" s="88">
        <v>11.362</v>
      </c>
      <c r="AC15"/>
      <c r="AD15"/>
      <c r="AE15"/>
    </row>
    <row r="16" spans="2:31" s="88" customFormat="1" ht="12.75">
      <c r="B16" s="88" t="s">
        <v>145</v>
      </c>
      <c r="C16" s="88" t="s">
        <v>422</v>
      </c>
      <c r="D16" s="88" t="s">
        <v>57</v>
      </c>
      <c r="E16" s="88" t="s">
        <v>15</v>
      </c>
      <c r="F16" s="120" t="s">
        <v>324</v>
      </c>
      <c r="G16" s="91">
        <v>0.433</v>
      </c>
      <c r="H16" s="123" t="s">
        <v>102</v>
      </c>
      <c r="I16" s="91">
        <v>12.968</v>
      </c>
      <c r="J16" s="123" t="s">
        <v>102</v>
      </c>
      <c r="K16" s="91">
        <v>12.907</v>
      </c>
      <c r="L16" s="120" t="s">
        <v>324</v>
      </c>
      <c r="N16" s="120" t="s">
        <v>324</v>
      </c>
      <c r="O16" s="89"/>
      <c r="P16" s="120" t="s">
        <v>324</v>
      </c>
      <c r="Q16" s="89"/>
      <c r="R16" s="120" t="s">
        <v>324</v>
      </c>
      <c r="S16" s="89"/>
      <c r="T16" s="120" t="s">
        <v>324</v>
      </c>
      <c r="U16" s="89"/>
      <c r="V16" s="120">
        <f>(I16+K16)/(3*W16)*100</f>
        <v>98.35411281739394</v>
      </c>
      <c r="W16" s="91">
        <f t="shared" si="0"/>
        <v>8.769333333333334</v>
      </c>
      <c r="X16" s="89"/>
      <c r="Y16" s="89"/>
      <c r="Z16" s="89"/>
      <c r="AA16" s="89"/>
      <c r="AB16" s="88">
        <v>8.769333333333334</v>
      </c>
      <c r="AC16"/>
      <c r="AD16"/>
      <c r="AE16"/>
    </row>
    <row r="17" spans="2:31" s="88" customFormat="1" ht="12.75">
      <c r="B17" s="88" t="s">
        <v>326</v>
      </c>
      <c r="C17" s="88" t="s">
        <v>423</v>
      </c>
      <c r="D17" s="88" t="s">
        <v>57</v>
      </c>
      <c r="E17" s="88" t="s">
        <v>15</v>
      </c>
      <c r="F17" s="120" t="s">
        <v>102</v>
      </c>
      <c r="G17" s="91">
        <v>0.08966927835051547</v>
      </c>
      <c r="H17" s="123" t="s">
        <v>102</v>
      </c>
      <c r="I17" s="91">
        <v>0.09051663157894736</v>
      </c>
      <c r="J17" s="123" t="s">
        <v>102</v>
      </c>
      <c r="K17" s="91">
        <v>0.092193492407809</v>
      </c>
      <c r="L17" s="120" t="s">
        <v>324</v>
      </c>
      <c r="N17" s="120" t="s">
        <v>324</v>
      </c>
      <c r="O17" s="89"/>
      <c r="P17" s="120" t="s">
        <v>324</v>
      </c>
      <c r="Q17" s="89"/>
      <c r="R17" s="120" t="s">
        <v>324</v>
      </c>
      <c r="S17" s="89"/>
      <c r="T17" s="120" t="s">
        <v>324</v>
      </c>
      <c r="U17" s="89"/>
      <c r="V17" s="120">
        <v>100</v>
      </c>
      <c r="W17" s="91">
        <f t="shared" si="0"/>
        <v>0.09079313411242394</v>
      </c>
      <c r="X17" s="89"/>
      <c r="Y17" s="89"/>
      <c r="Z17" s="89"/>
      <c r="AA17" s="89"/>
      <c r="AB17" s="88">
        <v>0.09079313411242394</v>
      </c>
      <c r="AC17"/>
      <c r="AD17"/>
      <c r="AE17"/>
    </row>
    <row r="18" spans="2:31" s="88" customFormat="1" ht="12.75">
      <c r="B18" s="88" t="s">
        <v>83</v>
      </c>
      <c r="C18" s="88" t="s">
        <v>422</v>
      </c>
      <c r="D18" s="88" t="s">
        <v>57</v>
      </c>
      <c r="E18" s="88" t="s">
        <v>15</v>
      </c>
      <c r="F18" s="120" t="s">
        <v>324</v>
      </c>
      <c r="G18" s="91">
        <v>35.216</v>
      </c>
      <c r="H18" s="123" t="s">
        <v>324</v>
      </c>
      <c r="I18" s="91">
        <v>80.316</v>
      </c>
      <c r="J18" s="123" t="s">
        <v>324</v>
      </c>
      <c r="K18" s="91">
        <v>100.369</v>
      </c>
      <c r="L18" s="120" t="s">
        <v>324</v>
      </c>
      <c r="N18" s="120" t="s">
        <v>324</v>
      </c>
      <c r="O18" s="89"/>
      <c r="P18" s="120" t="s">
        <v>324</v>
      </c>
      <c r="Q18" s="89"/>
      <c r="R18" s="120" t="s">
        <v>324</v>
      </c>
      <c r="S18" s="89"/>
      <c r="T18" s="120" t="s">
        <v>324</v>
      </c>
      <c r="U18" s="89"/>
      <c r="V18" s="120" t="s">
        <v>324</v>
      </c>
      <c r="W18" s="91">
        <f t="shared" si="0"/>
        <v>71.967</v>
      </c>
      <c r="X18" s="89"/>
      <c r="Y18" s="89"/>
      <c r="Z18" s="89"/>
      <c r="AA18" s="89"/>
      <c r="AB18" s="88">
        <v>71.967</v>
      </c>
      <c r="AC18"/>
      <c r="AD18"/>
      <c r="AE18"/>
    </row>
    <row r="19" spans="2:31" s="88" customFormat="1" ht="12.75">
      <c r="B19" s="88" t="s">
        <v>85</v>
      </c>
      <c r="C19" s="88" t="s">
        <v>422</v>
      </c>
      <c r="D19" s="88" t="s">
        <v>57</v>
      </c>
      <c r="E19" s="88" t="s">
        <v>15</v>
      </c>
      <c r="F19" s="120" t="s">
        <v>324</v>
      </c>
      <c r="G19" s="91">
        <v>13715.67</v>
      </c>
      <c r="H19" s="123" t="s">
        <v>324</v>
      </c>
      <c r="I19" s="91">
        <v>13896.842</v>
      </c>
      <c r="J19" s="123" t="s">
        <v>324</v>
      </c>
      <c r="K19" s="91">
        <v>13665.943</v>
      </c>
      <c r="L19" s="120" t="s">
        <v>324</v>
      </c>
      <c r="N19" s="120" t="s">
        <v>324</v>
      </c>
      <c r="O19" s="89"/>
      <c r="P19" s="120" t="s">
        <v>324</v>
      </c>
      <c r="Q19" s="89"/>
      <c r="R19" s="120" t="s">
        <v>324</v>
      </c>
      <c r="S19" s="89"/>
      <c r="T19" s="120" t="s">
        <v>324</v>
      </c>
      <c r="U19" s="89"/>
      <c r="V19" s="120" t="s">
        <v>324</v>
      </c>
      <c r="W19" s="91">
        <f t="shared" si="0"/>
        <v>13759.485</v>
      </c>
      <c r="X19" s="89"/>
      <c r="Y19" s="89"/>
      <c r="Z19" s="89"/>
      <c r="AA19" s="89"/>
      <c r="AB19" s="88">
        <v>13759.485</v>
      </c>
      <c r="AC19"/>
      <c r="AD19"/>
      <c r="AE19"/>
    </row>
    <row r="20" spans="2:31" s="88" customFormat="1" ht="12.75">
      <c r="B20" s="88" t="s">
        <v>58</v>
      </c>
      <c r="C20" s="88" t="s">
        <v>422</v>
      </c>
      <c r="D20" s="88" t="s">
        <v>57</v>
      </c>
      <c r="E20" s="88" t="s">
        <v>15</v>
      </c>
      <c r="F20" s="120"/>
      <c r="G20" s="91">
        <f>G18+G15</f>
        <v>41.278</v>
      </c>
      <c r="H20" s="123"/>
      <c r="I20" s="91">
        <f>I18+I15</f>
        <v>92.548</v>
      </c>
      <c r="J20" s="123"/>
      <c r="K20" s="91">
        <f>K18+K15</f>
        <v>116.161</v>
      </c>
      <c r="L20" s="120"/>
      <c r="N20" s="120"/>
      <c r="O20" s="89"/>
      <c r="P20" s="120"/>
      <c r="Q20" s="89"/>
      <c r="R20" s="120"/>
      <c r="S20" s="89"/>
      <c r="T20" s="120"/>
      <c r="U20" s="89"/>
      <c r="V20" s="120"/>
      <c r="W20" s="91">
        <f t="shared" si="0"/>
        <v>83.329</v>
      </c>
      <c r="X20" s="91"/>
      <c r="Y20" s="91"/>
      <c r="Z20" s="91"/>
      <c r="AA20" s="91"/>
      <c r="AC20"/>
      <c r="AD20"/>
      <c r="AE20"/>
    </row>
    <row r="21" spans="2:31" s="88" customFormat="1" ht="12.75">
      <c r="B21" s="88" t="s">
        <v>59</v>
      </c>
      <c r="C21" s="88" t="s">
        <v>422</v>
      </c>
      <c r="D21" s="88" t="s">
        <v>57</v>
      </c>
      <c r="E21" s="88" t="s">
        <v>15</v>
      </c>
      <c r="F21" s="120">
        <f>G14/G21*100</f>
        <v>3.128721446357042</v>
      </c>
      <c r="G21" s="91">
        <f>G16+G13+G14</f>
        <v>9.237</v>
      </c>
      <c r="H21" s="123"/>
      <c r="I21" s="91">
        <f>I16+I13+I14</f>
        <v>17.38903684</v>
      </c>
      <c r="J21" s="123"/>
      <c r="K21" s="91">
        <f>K16+K13+K14</f>
        <v>18.829</v>
      </c>
      <c r="L21" s="120"/>
      <c r="N21" s="120"/>
      <c r="O21" s="89"/>
      <c r="P21" s="120"/>
      <c r="Q21" s="89"/>
      <c r="R21" s="120"/>
      <c r="S21" s="89"/>
      <c r="T21" s="120"/>
      <c r="U21" s="89"/>
      <c r="V21" s="120">
        <f>(F21*G21+H21*I21+J21*K21)/(3*W21)</f>
        <v>0.6357931267711189</v>
      </c>
      <c r="W21" s="91">
        <f t="shared" si="0"/>
        <v>15.151678946666665</v>
      </c>
      <c r="X21" s="91"/>
      <c r="Y21" s="91"/>
      <c r="Z21" s="91"/>
      <c r="AA21" s="91"/>
      <c r="AC21"/>
      <c r="AD21"/>
      <c r="AE21"/>
    </row>
    <row r="22" spans="6:31" s="88" customFormat="1" ht="12.75">
      <c r="F22" s="120"/>
      <c r="G22" s="91"/>
      <c r="H22" s="123"/>
      <c r="I22" s="91"/>
      <c r="J22" s="123"/>
      <c r="K22" s="91"/>
      <c r="L22" s="120"/>
      <c r="M22" s="89"/>
      <c r="N22" s="120"/>
      <c r="O22" s="89"/>
      <c r="P22" s="120"/>
      <c r="Q22" s="89"/>
      <c r="R22" s="120"/>
      <c r="S22" s="89"/>
      <c r="T22" s="120"/>
      <c r="U22" s="89"/>
      <c r="V22" s="120"/>
      <c r="W22" s="89"/>
      <c r="X22" s="89"/>
      <c r="Y22" s="89"/>
      <c r="Z22" s="89"/>
      <c r="AA22" s="89"/>
      <c r="AC22"/>
      <c r="AD22"/>
      <c r="AE22"/>
    </row>
    <row r="23" spans="2:57" s="92" customFormat="1" ht="12.75">
      <c r="B23" s="92" t="s">
        <v>327</v>
      </c>
      <c r="C23" s="92" t="s">
        <v>424</v>
      </c>
      <c r="D23" s="92" t="s">
        <v>18</v>
      </c>
      <c r="F23" s="99"/>
      <c r="G23" s="93">
        <v>99.9991</v>
      </c>
      <c r="H23" s="96"/>
      <c r="I23" s="93">
        <v>99.9987</v>
      </c>
      <c r="J23" s="96"/>
      <c r="K23" s="93">
        <v>99.9988</v>
      </c>
      <c r="L23" s="96"/>
      <c r="M23" s="93"/>
      <c r="N23" s="96"/>
      <c r="O23" s="93"/>
      <c r="P23" s="96"/>
      <c r="Q23" s="93"/>
      <c r="R23" s="96"/>
      <c r="S23" s="93"/>
      <c r="T23" s="96"/>
      <c r="U23" s="93"/>
      <c r="V23" s="96"/>
      <c r="W23" s="93"/>
      <c r="X23" s="93"/>
      <c r="Y23" s="93"/>
      <c r="Z23" s="93"/>
      <c r="AA23" s="93"/>
      <c r="AB23" s="93"/>
      <c r="AC23"/>
      <c r="AD23"/>
      <c r="AE2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</row>
    <row r="24" spans="2:57" s="92" customFormat="1" ht="12.75">
      <c r="B24" s="92" t="s">
        <v>328</v>
      </c>
      <c r="C24" s="92" t="s">
        <v>424</v>
      </c>
      <c r="D24" s="92" t="s">
        <v>18</v>
      </c>
      <c r="F24" s="99"/>
      <c r="G24" s="93">
        <v>99.9996</v>
      </c>
      <c r="H24" s="96"/>
      <c r="I24" s="93">
        <v>99.9996</v>
      </c>
      <c r="J24" s="96"/>
      <c r="K24" s="93">
        <v>99.9996</v>
      </c>
      <c r="L24" s="96"/>
      <c r="M24" s="93"/>
      <c r="N24" s="96"/>
      <c r="O24" s="93"/>
      <c r="P24" s="96"/>
      <c r="Q24" s="93"/>
      <c r="R24" s="96"/>
      <c r="S24" s="93"/>
      <c r="T24" s="96"/>
      <c r="U24" s="93"/>
      <c r="V24" s="96"/>
      <c r="W24" s="93"/>
      <c r="X24" s="93"/>
      <c r="Y24" s="93"/>
      <c r="Z24" s="93"/>
      <c r="AA24" s="93"/>
      <c r="AB24" s="93"/>
      <c r="AC24"/>
      <c r="AD24"/>
      <c r="AE24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</row>
    <row r="25" spans="2:57" s="92" customFormat="1" ht="12.75">
      <c r="B25" s="92" t="s">
        <v>329</v>
      </c>
      <c r="C25" s="92" t="s">
        <v>424</v>
      </c>
      <c r="D25" s="92" t="s">
        <v>18</v>
      </c>
      <c r="F25" s="99"/>
      <c r="G25" s="93">
        <v>99.9996</v>
      </c>
      <c r="H25" s="96"/>
      <c r="I25" s="93">
        <v>99.9996</v>
      </c>
      <c r="J25" s="96"/>
      <c r="K25" s="93">
        <v>99.9996</v>
      </c>
      <c r="L25" s="96"/>
      <c r="M25" s="93"/>
      <c r="N25" s="96"/>
      <c r="O25" s="93"/>
      <c r="P25" s="96"/>
      <c r="Q25" s="93"/>
      <c r="R25" s="96"/>
      <c r="S25" s="93"/>
      <c r="T25" s="96"/>
      <c r="U25" s="93"/>
      <c r="V25" s="96"/>
      <c r="W25" s="93"/>
      <c r="X25" s="93"/>
      <c r="Y25" s="93"/>
      <c r="Z25" s="93"/>
      <c r="AA25" s="93"/>
      <c r="AB25" s="93"/>
      <c r="AC25"/>
      <c r="AD25"/>
      <c r="AE25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</row>
    <row r="26" spans="6:67" s="88" customFormat="1" ht="12.75">
      <c r="F26" s="121"/>
      <c r="G26" s="91"/>
      <c r="H26" s="123"/>
      <c r="I26" s="91"/>
      <c r="J26" s="123"/>
      <c r="K26" s="91"/>
      <c r="L26" s="123"/>
      <c r="M26" s="91"/>
      <c r="N26" s="123"/>
      <c r="O26" s="91"/>
      <c r="P26" s="123"/>
      <c r="Q26" s="91"/>
      <c r="R26" s="123"/>
      <c r="S26" s="91"/>
      <c r="T26" s="123"/>
      <c r="U26" s="91"/>
      <c r="V26" s="123"/>
      <c r="W26" s="91"/>
      <c r="X26" s="91"/>
      <c r="Y26" s="91"/>
      <c r="Z26" s="91"/>
      <c r="AA26" s="91"/>
      <c r="AB26" s="91"/>
      <c r="AC26"/>
      <c r="AD26"/>
      <c r="AE26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</row>
    <row r="27" spans="2:67" s="88" customFormat="1" ht="12.75">
      <c r="B27" s="88" t="s">
        <v>89</v>
      </c>
      <c r="C27" s="88" t="s">
        <v>332</v>
      </c>
      <c r="D27" s="92" t="s">
        <v>421</v>
      </c>
      <c r="F27" s="121"/>
      <c r="G27" s="91"/>
      <c r="H27" s="123"/>
      <c r="I27" s="91"/>
      <c r="J27" s="123"/>
      <c r="K27" s="91"/>
      <c r="L27" s="123"/>
      <c r="M27" s="91"/>
      <c r="N27" s="123"/>
      <c r="O27" s="91"/>
      <c r="P27" s="123"/>
      <c r="Q27" s="91"/>
      <c r="R27" s="123"/>
      <c r="S27" s="91"/>
      <c r="T27" s="123"/>
      <c r="U27" s="91"/>
      <c r="V27" s="123"/>
      <c r="W27" s="91"/>
      <c r="X27" s="91"/>
      <c r="Y27" s="91"/>
      <c r="Z27" s="91"/>
      <c r="AA27" s="91"/>
      <c r="AB27" s="91"/>
      <c r="AC27"/>
      <c r="AD27"/>
      <c r="AE27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</row>
    <row r="28" spans="2:67" s="88" customFormat="1" ht="12.75">
      <c r="B28" s="8" t="s">
        <v>82</v>
      </c>
      <c r="C28" s="8"/>
      <c r="D28" s="8" t="s">
        <v>17</v>
      </c>
      <c r="F28" s="121"/>
      <c r="G28" s="91">
        <v>54938</v>
      </c>
      <c r="H28" s="123"/>
      <c r="I28" s="91">
        <v>52947</v>
      </c>
      <c r="J28" s="123"/>
      <c r="K28" s="91">
        <v>55821</v>
      </c>
      <c r="L28" s="123"/>
      <c r="M28" s="91"/>
      <c r="N28" s="123"/>
      <c r="O28" s="91"/>
      <c r="P28" s="123"/>
      <c r="Q28" s="91"/>
      <c r="R28" s="123"/>
      <c r="S28" s="91"/>
      <c r="T28" s="123"/>
      <c r="U28" s="91"/>
      <c r="V28" s="123"/>
      <c r="W28" s="91"/>
      <c r="X28" s="91"/>
      <c r="Y28" s="91"/>
      <c r="Z28" s="91"/>
      <c r="AA28" s="91"/>
      <c r="AB28" s="91"/>
      <c r="AC28"/>
      <c r="AD28"/>
      <c r="AE28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</row>
    <row r="29" spans="2:67" s="88" customFormat="1" ht="12.75">
      <c r="B29" s="8" t="s">
        <v>87</v>
      </c>
      <c r="C29" s="8"/>
      <c r="D29" s="8" t="s">
        <v>18</v>
      </c>
      <c r="F29" s="121"/>
      <c r="G29" s="91">
        <v>11.3</v>
      </c>
      <c r="H29" s="123"/>
      <c r="I29" s="91">
        <v>11.33</v>
      </c>
      <c r="J29" s="123"/>
      <c r="K29" s="91">
        <v>11.76</v>
      </c>
      <c r="L29" s="123"/>
      <c r="M29" s="91"/>
      <c r="N29" s="123"/>
      <c r="O29" s="91"/>
      <c r="P29" s="123"/>
      <c r="Q29" s="91"/>
      <c r="R29" s="123"/>
      <c r="S29" s="91"/>
      <c r="T29" s="123"/>
      <c r="U29" s="91"/>
      <c r="V29" s="123"/>
      <c r="W29" s="91"/>
      <c r="X29" s="91"/>
      <c r="Y29" s="91"/>
      <c r="Z29" s="91"/>
      <c r="AA29" s="91"/>
      <c r="AB29" s="91"/>
      <c r="AC29"/>
      <c r="AD29"/>
      <c r="AE29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</row>
    <row r="30" spans="2:67" s="88" customFormat="1" ht="12.75">
      <c r="B30" s="8" t="s">
        <v>88</v>
      </c>
      <c r="C30" s="8"/>
      <c r="D30" s="8" t="s">
        <v>18</v>
      </c>
      <c r="F30" s="121"/>
      <c r="G30" s="91">
        <v>30.3</v>
      </c>
      <c r="H30" s="123"/>
      <c r="I30" s="91">
        <v>30.6</v>
      </c>
      <c r="J30" s="123"/>
      <c r="K30" s="91">
        <v>29.6</v>
      </c>
      <c r="L30" s="123"/>
      <c r="M30" s="91"/>
      <c r="N30" s="123"/>
      <c r="O30" s="91"/>
      <c r="P30" s="123"/>
      <c r="Q30" s="91"/>
      <c r="R30" s="123"/>
      <c r="S30" s="91"/>
      <c r="T30" s="123"/>
      <c r="U30" s="91"/>
      <c r="V30" s="123"/>
      <c r="W30" s="91"/>
      <c r="X30" s="91"/>
      <c r="Y30" s="91"/>
      <c r="Z30" s="91"/>
      <c r="AA30" s="91"/>
      <c r="AB30" s="91"/>
      <c r="AC30"/>
      <c r="AD30"/>
      <c r="AE30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</row>
    <row r="31" spans="2:67" s="88" customFormat="1" ht="12.75">
      <c r="B31" s="8" t="s">
        <v>81</v>
      </c>
      <c r="C31" s="8"/>
      <c r="D31" s="8" t="s">
        <v>19</v>
      </c>
      <c r="F31" s="121"/>
      <c r="G31" s="91">
        <v>202</v>
      </c>
      <c r="H31" s="123"/>
      <c r="I31" s="91">
        <v>204</v>
      </c>
      <c r="J31" s="123"/>
      <c r="K31" s="91">
        <v>202</v>
      </c>
      <c r="L31" s="123"/>
      <c r="M31" s="91"/>
      <c r="N31" s="123"/>
      <c r="O31" s="91"/>
      <c r="P31" s="123"/>
      <c r="Q31" s="91"/>
      <c r="R31" s="123"/>
      <c r="S31" s="91"/>
      <c r="T31" s="123"/>
      <c r="U31" s="91"/>
      <c r="V31" s="123"/>
      <c r="W31" s="91"/>
      <c r="X31" s="91"/>
      <c r="Y31" s="91"/>
      <c r="Z31" s="91"/>
      <c r="AA31" s="91"/>
      <c r="AB31" s="91"/>
      <c r="AC31"/>
      <c r="AD31"/>
      <c r="AE3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</row>
    <row r="32" spans="6:67" s="88" customFormat="1" ht="12.75">
      <c r="F32" s="121"/>
      <c r="G32" s="91"/>
      <c r="H32" s="123"/>
      <c r="I32" s="91"/>
      <c r="J32" s="123"/>
      <c r="K32" s="91"/>
      <c r="L32" s="123"/>
      <c r="M32" s="91"/>
      <c r="N32" s="123"/>
      <c r="O32" s="91"/>
      <c r="P32" s="123"/>
      <c r="Q32" s="91"/>
      <c r="R32" s="123"/>
      <c r="S32" s="91"/>
      <c r="T32" s="123"/>
      <c r="U32" s="91"/>
      <c r="V32" s="123"/>
      <c r="W32" s="91"/>
      <c r="X32" s="91"/>
      <c r="Y32" s="91"/>
      <c r="Z32" s="91"/>
      <c r="AA32" s="91"/>
      <c r="AB32" s="91"/>
      <c r="AC32"/>
      <c r="AD32"/>
      <c r="AE32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</row>
    <row r="33" spans="2:67" s="88" customFormat="1" ht="12.75">
      <c r="B33" s="88" t="s">
        <v>89</v>
      </c>
      <c r="C33" s="88" t="s">
        <v>198</v>
      </c>
      <c r="D33" s="8" t="s">
        <v>422</v>
      </c>
      <c r="F33" s="121"/>
      <c r="G33" s="91"/>
      <c r="H33" s="123"/>
      <c r="I33" s="91"/>
      <c r="J33" s="123"/>
      <c r="K33" s="91"/>
      <c r="L33" s="123"/>
      <c r="M33" s="91"/>
      <c r="N33" s="123"/>
      <c r="O33" s="91"/>
      <c r="P33" s="123"/>
      <c r="Q33" s="91"/>
      <c r="R33" s="123"/>
      <c r="S33" s="91"/>
      <c r="T33" s="123"/>
      <c r="U33" s="91"/>
      <c r="V33" s="123"/>
      <c r="W33" s="91"/>
      <c r="X33" s="91"/>
      <c r="Y33" s="91"/>
      <c r="Z33" s="91"/>
      <c r="AA33" s="91"/>
      <c r="AB33" s="91"/>
      <c r="AC33"/>
      <c r="AD33"/>
      <c r="AE33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</row>
    <row r="34" spans="2:67" s="88" customFormat="1" ht="12.75">
      <c r="B34" s="8" t="s">
        <v>82</v>
      </c>
      <c r="C34" s="8"/>
      <c r="D34" s="8" t="s">
        <v>17</v>
      </c>
      <c r="F34" s="121"/>
      <c r="G34" s="91">
        <v>53719</v>
      </c>
      <c r="H34" s="123"/>
      <c r="I34" s="91">
        <v>53735</v>
      </c>
      <c r="J34" s="123"/>
      <c r="K34" s="91">
        <v>53044</v>
      </c>
      <c r="L34" s="123"/>
      <c r="M34" s="91"/>
      <c r="N34" s="123"/>
      <c r="O34" s="91"/>
      <c r="P34" s="123"/>
      <c r="Q34" s="91"/>
      <c r="R34" s="123"/>
      <c r="S34" s="91"/>
      <c r="T34" s="123"/>
      <c r="U34" s="91"/>
      <c r="V34" s="123"/>
      <c r="W34" s="91"/>
      <c r="X34" s="91"/>
      <c r="Y34" s="91"/>
      <c r="Z34" s="91"/>
      <c r="AA34" s="91"/>
      <c r="AB34" s="91"/>
      <c r="AC34"/>
      <c r="AD34"/>
      <c r="AE34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</row>
    <row r="35" spans="2:67" s="88" customFormat="1" ht="12.75">
      <c r="B35" s="8" t="s">
        <v>87</v>
      </c>
      <c r="C35" s="8"/>
      <c r="D35" s="8" t="s">
        <v>18</v>
      </c>
      <c r="F35" s="121"/>
      <c r="G35" s="91">
        <v>11.3</v>
      </c>
      <c r="H35" s="123"/>
      <c r="I35" s="91">
        <v>11.5</v>
      </c>
      <c r="J35" s="123"/>
      <c r="K35" s="91">
        <v>11.78</v>
      </c>
      <c r="L35" s="123"/>
      <c r="M35" s="91"/>
      <c r="N35" s="123"/>
      <c r="O35" s="91"/>
      <c r="P35" s="123"/>
      <c r="Q35" s="91"/>
      <c r="R35" s="123"/>
      <c r="S35" s="91"/>
      <c r="T35" s="123"/>
      <c r="U35" s="91"/>
      <c r="V35" s="123"/>
      <c r="W35" s="91"/>
      <c r="X35" s="91"/>
      <c r="Y35" s="91"/>
      <c r="Z35" s="91"/>
      <c r="AA35" s="91"/>
      <c r="AB35" s="91"/>
      <c r="AC35"/>
      <c r="AD35"/>
      <c r="AE35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</row>
    <row r="36" spans="2:67" s="88" customFormat="1" ht="12.75">
      <c r="B36" s="8" t="s">
        <v>88</v>
      </c>
      <c r="C36" s="8"/>
      <c r="D36" s="8" t="s">
        <v>18</v>
      </c>
      <c r="F36" s="121"/>
      <c r="G36" s="91">
        <v>29.8</v>
      </c>
      <c r="H36" s="123"/>
      <c r="I36" s="91">
        <v>30.4</v>
      </c>
      <c r="J36" s="123"/>
      <c r="K36" s="91">
        <v>32.8</v>
      </c>
      <c r="L36" s="123"/>
      <c r="M36" s="91"/>
      <c r="N36" s="123"/>
      <c r="O36" s="91"/>
      <c r="P36" s="123"/>
      <c r="Q36" s="91"/>
      <c r="R36" s="123"/>
      <c r="S36" s="91"/>
      <c r="T36" s="123"/>
      <c r="U36" s="91"/>
      <c r="V36" s="123"/>
      <c r="W36" s="91"/>
      <c r="X36" s="91"/>
      <c r="Y36" s="91"/>
      <c r="Z36" s="91"/>
      <c r="AA36" s="91"/>
      <c r="AB36" s="91"/>
      <c r="AC36"/>
      <c r="AD36"/>
      <c r="AE36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</row>
    <row r="37" spans="2:67" s="88" customFormat="1" ht="12.75">
      <c r="B37" s="8" t="s">
        <v>81</v>
      </c>
      <c r="C37" s="8"/>
      <c r="D37" s="8" t="s">
        <v>19</v>
      </c>
      <c r="F37" s="121"/>
      <c r="G37" s="91">
        <v>207</v>
      </c>
      <c r="H37" s="123"/>
      <c r="I37" s="91">
        <v>201</v>
      </c>
      <c r="J37" s="123"/>
      <c r="K37" s="91">
        <v>201</v>
      </c>
      <c r="L37" s="123"/>
      <c r="M37" s="91"/>
      <c r="N37" s="123"/>
      <c r="O37" s="91"/>
      <c r="P37" s="123"/>
      <c r="Q37" s="91"/>
      <c r="R37" s="123"/>
      <c r="S37" s="91"/>
      <c r="T37" s="123"/>
      <c r="U37" s="91"/>
      <c r="V37" s="123"/>
      <c r="W37" s="91"/>
      <c r="X37" s="91"/>
      <c r="Y37" s="91"/>
      <c r="Z37" s="91"/>
      <c r="AA37" s="91"/>
      <c r="AB37" s="91"/>
      <c r="AC37"/>
      <c r="AD37"/>
      <c r="AE37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</row>
    <row r="38" spans="6:57" s="92" customFormat="1" ht="12.75">
      <c r="F38" s="99"/>
      <c r="G38" s="93"/>
      <c r="H38" s="96"/>
      <c r="I38" s="93"/>
      <c r="J38" s="96"/>
      <c r="K38" s="93"/>
      <c r="L38" s="96"/>
      <c r="M38" s="93"/>
      <c r="N38" s="96"/>
      <c r="O38" s="93"/>
      <c r="P38" s="96"/>
      <c r="Q38" s="93"/>
      <c r="R38" s="96"/>
      <c r="S38" s="93"/>
      <c r="T38" s="96"/>
      <c r="U38" s="93"/>
      <c r="V38" s="96"/>
      <c r="W38" s="93"/>
      <c r="X38" s="93"/>
      <c r="Y38" s="93"/>
      <c r="Z38" s="93"/>
      <c r="AA38" s="93"/>
      <c r="AB38" s="93"/>
      <c r="AC38"/>
      <c r="AD38"/>
      <c r="AE38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</row>
    <row r="39" spans="2:31" s="88" customFormat="1" ht="12.75">
      <c r="B39" s="88" t="s">
        <v>89</v>
      </c>
      <c r="C39" s="88" t="s">
        <v>330</v>
      </c>
      <c r="D39" s="8" t="s">
        <v>423</v>
      </c>
      <c r="F39" s="120"/>
      <c r="G39" s="91"/>
      <c r="H39" s="123"/>
      <c r="I39" s="91"/>
      <c r="J39" s="123"/>
      <c r="K39" s="91"/>
      <c r="L39" s="120"/>
      <c r="M39" s="89"/>
      <c r="N39" s="120"/>
      <c r="O39" s="89"/>
      <c r="P39" s="120"/>
      <c r="Q39" s="89"/>
      <c r="R39" s="120"/>
      <c r="S39" s="89"/>
      <c r="T39" s="120"/>
      <c r="U39" s="89"/>
      <c r="V39" s="120"/>
      <c r="W39" s="89"/>
      <c r="X39" s="89"/>
      <c r="Y39" s="89"/>
      <c r="Z39" s="89"/>
      <c r="AA39" s="89"/>
      <c r="AC39"/>
      <c r="AD39"/>
      <c r="AE39"/>
    </row>
    <row r="40" spans="2:67" s="88" customFormat="1" ht="12.75">
      <c r="B40" s="8" t="s">
        <v>82</v>
      </c>
      <c r="C40" s="8"/>
      <c r="D40" s="8" t="s">
        <v>17</v>
      </c>
      <c r="F40" s="121"/>
      <c r="G40" s="91">
        <v>60037</v>
      </c>
      <c r="H40" s="123"/>
      <c r="I40" s="91">
        <v>58381</v>
      </c>
      <c r="J40" s="123"/>
      <c r="K40" s="91">
        <v>57967</v>
      </c>
      <c r="L40" s="123"/>
      <c r="M40" s="91"/>
      <c r="N40" s="123"/>
      <c r="O40" s="91"/>
      <c r="P40" s="123"/>
      <c r="Q40" s="91"/>
      <c r="R40" s="123"/>
      <c r="S40" s="91"/>
      <c r="T40" s="123"/>
      <c r="U40" s="91"/>
      <c r="V40" s="123"/>
      <c r="W40" s="91"/>
      <c r="X40" s="91"/>
      <c r="Y40" s="91"/>
      <c r="Z40" s="91"/>
      <c r="AA40" s="91"/>
      <c r="AB40" s="91"/>
      <c r="AC40"/>
      <c r="AD40"/>
      <c r="AE40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</row>
    <row r="41" spans="2:67" s="88" customFormat="1" ht="12.75">
      <c r="B41" s="8" t="s">
        <v>87</v>
      </c>
      <c r="C41" s="8"/>
      <c r="D41" s="8" t="s">
        <v>18</v>
      </c>
      <c r="F41" s="121"/>
      <c r="G41" s="91">
        <v>11.3</v>
      </c>
      <c r="H41" s="123"/>
      <c r="I41" s="91">
        <v>11.5</v>
      </c>
      <c r="J41" s="123"/>
      <c r="K41" s="91">
        <v>11.78</v>
      </c>
      <c r="L41" s="123"/>
      <c r="M41" s="91"/>
      <c r="N41" s="123"/>
      <c r="O41" s="91"/>
      <c r="P41" s="123"/>
      <c r="Q41" s="91"/>
      <c r="R41" s="123"/>
      <c r="S41" s="91"/>
      <c r="T41" s="123"/>
      <c r="U41" s="91"/>
      <c r="V41" s="123"/>
      <c r="W41" s="91"/>
      <c r="X41" s="91"/>
      <c r="Y41" s="91"/>
      <c r="Z41" s="91"/>
      <c r="AA41" s="91"/>
      <c r="AB41" s="91"/>
      <c r="AC41"/>
      <c r="AD41"/>
      <c r="AE4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</row>
    <row r="42" spans="2:67" s="88" customFormat="1" ht="12.75">
      <c r="B42" s="8" t="s">
        <v>88</v>
      </c>
      <c r="C42" s="8"/>
      <c r="D42" s="8" t="s">
        <v>18</v>
      </c>
      <c r="F42" s="121"/>
      <c r="G42" s="91">
        <v>22.7</v>
      </c>
      <c r="H42" s="123"/>
      <c r="I42" s="91">
        <v>25.5</v>
      </c>
      <c r="J42" s="123"/>
      <c r="K42" s="91">
        <v>21.5</v>
      </c>
      <c r="L42" s="123"/>
      <c r="M42" s="91"/>
      <c r="N42" s="123"/>
      <c r="O42" s="91"/>
      <c r="P42" s="123"/>
      <c r="Q42" s="91"/>
      <c r="R42" s="123"/>
      <c r="S42" s="91"/>
      <c r="T42" s="123"/>
      <c r="U42" s="91"/>
      <c r="V42" s="123"/>
      <c r="W42" s="91"/>
      <c r="X42" s="91"/>
      <c r="Y42" s="91"/>
      <c r="Z42" s="91"/>
      <c r="AA42" s="91"/>
      <c r="AB42" s="91"/>
      <c r="AC42"/>
      <c r="AD42"/>
      <c r="AE42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</row>
    <row r="43" spans="2:67" s="88" customFormat="1" ht="12.75">
      <c r="B43" s="8" t="s">
        <v>81</v>
      </c>
      <c r="C43" s="8"/>
      <c r="D43" s="8" t="s">
        <v>19</v>
      </c>
      <c r="F43" s="121"/>
      <c r="G43" s="91">
        <v>207</v>
      </c>
      <c r="H43" s="123"/>
      <c r="I43" s="91">
        <v>201</v>
      </c>
      <c r="J43" s="123"/>
      <c r="K43" s="91">
        <v>202</v>
      </c>
      <c r="L43" s="123"/>
      <c r="M43" s="91"/>
      <c r="N43" s="123"/>
      <c r="O43" s="91"/>
      <c r="P43" s="123"/>
      <c r="Q43" s="91"/>
      <c r="R43" s="123"/>
      <c r="S43" s="91"/>
      <c r="T43" s="123"/>
      <c r="U43" s="91"/>
      <c r="V43" s="123"/>
      <c r="W43" s="91"/>
      <c r="X43" s="91"/>
      <c r="Y43" s="91"/>
      <c r="Z43" s="91"/>
      <c r="AA43" s="91"/>
      <c r="AB43" s="91"/>
      <c r="AC43"/>
      <c r="AD43"/>
      <c r="AE43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</row>
    <row r="44" spans="6:67" s="88" customFormat="1" ht="12.75">
      <c r="F44" s="121"/>
      <c r="G44" s="91"/>
      <c r="H44" s="123"/>
      <c r="I44" s="91"/>
      <c r="J44" s="123"/>
      <c r="K44" s="91"/>
      <c r="L44" s="123"/>
      <c r="M44" s="91"/>
      <c r="N44" s="123"/>
      <c r="O44" s="91"/>
      <c r="P44" s="123"/>
      <c r="Q44" s="91"/>
      <c r="R44" s="123"/>
      <c r="S44" s="91"/>
      <c r="T44" s="123"/>
      <c r="U44" s="91"/>
      <c r="V44" s="123"/>
      <c r="W44" s="91"/>
      <c r="X44" s="91"/>
      <c r="Y44" s="91"/>
      <c r="Z44" s="91"/>
      <c r="AA44" s="91"/>
      <c r="AB44" s="91"/>
      <c r="AC44"/>
      <c r="AD44"/>
      <c r="AE44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</row>
    <row r="45" spans="2:67" s="88" customFormat="1" ht="12.75">
      <c r="B45" s="88" t="s">
        <v>89</v>
      </c>
      <c r="C45" s="88" t="s">
        <v>331</v>
      </c>
      <c r="D45" s="8" t="s">
        <v>424</v>
      </c>
      <c r="F45" s="121"/>
      <c r="G45" s="91"/>
      <c r="H45" s="123"/>
      <c r="I45" s="91"/>
      <c r="J45" s="123"/>
      <c r="K45" s="91"/>
      <c r="L45" s="123"/>
      <c r="M45" s="91"/>
      <c r="N45" s="123"/>
      <c r="O45" s="91"/>
      <c r="P45" s="123"/>
      <c r="Q45" s="91"/>
      <c r="R45" s="123"/>
      <c r="S45" s="91"/>
      <c r="T45" s="123"/>
      <c r="U45" s="91"/>
      <c r="V45" s="123"/>
      <c r="W45" s="91"/>
      <c r="X45" s="91"/>
      <c r="Y45" s="91"/>
      <c r="Z45" s="91"/>
      <c r="AA45" s="91"/>
      <c r="AB45" s="91"/>
      <c r="AC45"/>
      <c r="AD45"/>
      <c r="AE45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</row>
    <row r="46" spans="2:67" s="88" customFormat="1" ht="12.75">
      <c r="B46" s="8" t="s">
        <v>82</v>
      </c>
      <c r="C46" s="8"/>
      <c r="D46" s="8" t="s">
        <v>17</v>
      </c>
      <c r="F46" s="121"/>
      <c r="G46" s="91">
        <v>55802</v>
      </c>
      <c r="H46" s="123"/>
      <c r="I46" s="91">
        <v>55486</v>
      </c>
      <c r="J46" s="123"/>
      <c r="K46" s="91">
        <v>55435</v>
      </c>
      <c r="L46" s="123"/>
      <c r="M46" s="91"/>
      <c r="N46" s="123"/>
      <c r="O46" s="91"/>
      <c r="P46" s="123"/>
      <c r="Q46" s="91"/>
      <c r="R46" s="123"/>
      <c r="S46" s="91"/>
      <c r="T46" s="123"/>
      <c r="U46" s="91"/>
      <c r="V46" s="123"/>
      <c r="W46" s="91"/>
      <c r="X46" s="91"/>
      <c r="Y46" s="91"/>
      <c r="Z46" s="91"/>
      <c r="AA46" s="91"/>
      <c r="AB46" s="91"/>
      <c r="AC46"/>
      <c r="AD46"/>
      <c r="AE46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</row>
    <row r="47" spans="2:67" s="88" customFormat="1" ht="12.75">
      <c r="B47" s="8" t="s">
        <v>87</v>
      </c>
      <c r="C47" s="8"/>
      <c r="D47" s="8" t="s">
        <v>18</v>
      </c>
      <c r="F47" s="121"/>
      <c r="G47" s="91">
        <v>11.27</v>
      </c>
      <c r="H47" s="123"/>
      <c r="I47" s="91">
        <v>11.33</v>
      </c>
      <c r="J47" s="123"/>
      <c r="K47" s="91">
        <v>11.72</v>
      </c>
      <c r="L47" s="123"/>
      <c r="M47" s="91"/>
      <c r="N47" s="123"/>
      <c r="O47" s="91"/>
      <c r="P47" s="123"/>
      <c r="Q47" s="91"/>
      <c r="R47" s="123"/>
      <c r="S47" s="91"/>
      <c r="T47" s="123"/>
      <c r="U47" s="91"/>
      <c r="V47" s="123"/>
      <c r="W47" s="91"/>
      <c r="X47" s="91"/>
      <c r="Y47" s="91"/>
      <c r="Z47" s="91"/>
      <c r="AA47" s="91"/>
      <c r="AB47" s="91"/>
      <c r="AC47"/>
      <c r="AD47"/>
      <c r="AE47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</row>
    <row r="48" spans="2:67" s="88" customFormat="1" ht="12.75">
      <c r="B48" s="8" t="s">
        <v>88</v>
      </c>
      <c r="C48" s="8"/>
      <c r="D48" s="8" t="s">
        <v>18</v>
      </c>
      <c r="F48" s="121"/>
      <c r="G48" s="91">
        <v>30.7</v>
      </c>
      <c r="H48" s="123"/>
      <c r="I48" s="91">
        <v>29.6</v>
      </c>
      <c r="J48" s="123"/>
      <c r="K48" s="91">
        <v>30.4</v>
      </c>
      <c r="L48" s="123"/>
      <c r="M48" s="91"/>
      <c r="N48" s="123"/>
      <c r="O48" s="91"/>
      <c r="P48" s="123"/>
      <c r="Q48" s="91"/>
      <c r="R48" s="123"/>
      <c r="S48" s="91"/>
      <c r="T48" s="123"/>
      <c r="U48" s="91"/>
      <c r="V48" s="123"/>
      <c r="W48" s="91"/>
      <c r="X48" s="91"/>
      <c r="Y48" s="91"/>
      <c r="Z48" s="91"/>
      <c r="AA48" s="91"/>
      <c r="AB48" s="91"/>
      <c r="AC48"/>
      <c r="AD48"/>
      <c r="AE48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</row>
    <row r="49" spans="2:67" s="88" customFormat="1" ht="12.75">
      <c r="B49" s="8" t="s">
        <v>81</v>
      </c>
      <c r="C49" s="8"/>
      <c r="D49" s="8" t="s">
        <v>19</v>
      </c>
      <c r="F49" s="121"/>
      <c r="G49" s="91">
        <v>200</v>
      </c>
      <c r="H49" s="123"/>
      <c r="I49" s="91">
        <v>204</v>
      </c>
      <c r="J49" s="123"/>
      <c r="K49" s="91">
        <v>200</v>
      </c>
      <c r="L49" s="123"/>
      <c r="M49" s="91"/>
      <c r="N49" s="123"/>
      <c r="O49" s="91"/>
      <c r="P49" s="123"/>
      <c r="Q49" s="91"/>
      <c r="R49" s="123"/>
      <c r="S49" s="91"/>
      <c r="T49" s="123"/>
      <c r="U49" s="91"/>
      <c r="V49" s="123"/>
      <c r="W49" s="91"/>
      <c r="X49" s="91"/>
      <c r="Y49" s="91"/>
      <c r="Z49" s="91"/>
      <c r="AA49" s="91"/>
      <c r="AB49" s="91"/>
      <c r="AC49"/>
      <c r="AD49"/>
      <c r="AE49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</row>
    <row r="50" spans="6:31" s="88" customFormat="1" ht="12.75">
      <c r="F50" s="120"/>
      <c r="G50" s="91"/>
      <c r="H50" s="123"/>
      <c r="I50" s="91"/>
      <c r="J50" s="123"/>
      <c r="K50" s="91"/>
      <c r="L50" s="120"/>
      <c r="M50" s="89"/>
      <c r="N50" s="120"/>
      <c r="O50" s="89"/>
      <c r="P50" s="120"/>
      <c r="Q50" s="89"/>
      <c r="R50" s="120"/>
      <c r="S50" s="89"/>
      <c r="T50" s="120"/>
      <c r="U50" s="89"/>
      <c r="V50" s="120"/>
      <c r="W50" s="89"/>
      <c r="X50" s="89"/>
      <c r="Y50" s="89"/>
      <c r="Z50" s="89"/>
      <c r="AA50" s="89"/>
      <c r="AC50"/>
      <c r="AD50"/>
      <c r="AE50"/>
    </row>
    <row r="51" spans="1:31" s="88" customFormat="1" ht="12.75">
      <c r="A51" s="88">
        <v>2</v>
      </c>
      <c r="B51" s="41" t="s">
        <v>294</v>
      </c>
      <c r="F51" s="120"/>
      <c r="G51" s="50" t="s">
        <v>316</v>
      </c>
      <c r="H51" s="50"/>
      <c r="I51" s="50" t="s">
        <v>317</v>
      </c>
      <c r="J51" s="50"/>
      <c r="K51" s="50" t="s">
        <v>318</v>
      </c>
      <c r="L51" s="50"/>
      <c r="M51" s="50" t="s">
        <v>319</v>
      </c>
      <c r="N51" s="50"/>
      <c r="O51" s="50" t="s">
        <v>320</v>
      </c>
      <c r="P51" s="50"/>
      <c r="Q51" s="50" t="s">
        <v>321</v>
      </c>
      <c r="R51" s="50"/>
      <c r="S51" s="50" t="s">
        <v>322</v>
      </c>
      <c r="T51" s="50"/>
      <c r="U51" s="50" t="s">
        <v>323</v>
      </c>
      <c r="V51" s="50"/>
      <c r="W51" s="50" t="s">
        <v>47</v>
      </c>
      <c r="X51" s="89"/>
      <c r="Y51" s="89"/>
      <c r="Z51" s="89"/>
      <c r="AA51" s="89"/>
      <c r="AC51"/>
      <c r="AD51"/>
      <c r="AE51"/>
    </row>
    <row r="52" spans="6:31" s="88" customFormat="1" ht="12.75">
      <c r="F52" s="120"/>
      <c r="G52" s="91"/>
      <c r="H52" s="123"/>
      <c r="I52" s="91"/>
      <c r="J52" s="123"/>
      <c r="K52" s="91"/>
      <c r="L52" s="120"/>
      <c r="M52" s="89"/>
      <c r="N52" s="120"/>
      <c r="O52" s="89"/>
      <c r="P52" s="120"/>
      <c r="Q52" s="89"/>
      <c r="R52" s="120"/>
      <c r="S52" s="89"/>
      <c r="T52" s="120"/>
      <c r="U52" s="89"/>
      <c r="V52" s="120"/>
      <c r="W52" s="89"/>
      <c r="X52" s="89"/>
      <c r="Y52" s="89"/>
      <c r="Z52" s="89"/>
      <c r="AA52" s="89"/>
      <c r="AC52"/>
      <c r="AD52"/>
      <c r="AE52"/>
    </row>
    <row r="53" spans="2:31" s="88" customFormat="1" ht="12.75">
      <c r="B53" s="88" t="s">
        <v>13</v>
      </c>
      <c r="C53" s="88" t="s">
        <v>421</v>
      </c>
      <c r="D53" s="88" t="s">
        <v>14</v>
      </c>
      <c r="E53" s="88" t="s">
        <v>15</v>
      </c>
      <c r="F53" s="120" t="s">
        <v>324</v>
      </c>
      <c r="G53" s="90">
        <v>0.0017790987824047</v>
      </c>
      <c r="H53" s="122" t="s">
        <v>324</v>
      </c>
      <c r="I53" s="90">
        <v>0.0024766114563995836</v>
      </c>
      <c r="J53" s="122" t="s">
        <v>324</v>
      </c>
      <c r="K53" s="90">
        <v>0.003402220869987849</v>
      </c>
      <c r="L53" s="122" t="s">
        <v>324</v>
      </c>
      <c r="M53" s="90"/>
      <c r="N53" s="122" t="s">
        <v>324</v>
      </c>
      <c r="O53" s="90"/>
      <c r="P53" s="122" t="s">
        <v>324</v>
      </c>
      <c r="Q53" s="90"/>
      <c r="R53" s="122" t="s">
        <v>324</v>
      </c>
      <c r="S53" s="90"/>
      <c r="T53" s="122" t="s">
        <v>324</v>
      </c>
      <c r="U53" s="90"/>
      <c r="V53" s="120" t="s">
        <v>324</v>
      </c>
      <c r="W53" s="90">
        <f aca="true" t="shared" si="1" ref="W53:W58">AVERAGE(G53,I53,K53)</f>
        <v>0.002552643702930711</v>
      </c>
      <c r="X53" s="89"/>
      <c r="Y53" s="89"/>
      <c r="Z53" s="89"/>
      <c r="AA53" s="89"/>
      <c r="AB53" s="88">
        <v>0.002552643702930711</v>
      </c>
      <c r="AC53"/>
      <c r="AD53"/>
      <c r="AE53"/>
    </row>
    <row r="54" spans="2:31" s="88" customFormat="1" ht="12.75">
      <c r="B54" s="88" t="s">
        <v>108</v>
      </c>
      <c r="C54" s="88" t="s">
        <v>421</v>
      </c>
      <c r="D54" s="88" t="s">
        <v>16</v>
      </c>
      <c r="E54" s="88" t="s">
        <v>15</v>
      </c>
      <c r="F54" s="120" t="s">
        <v>324</v>
      </c>
      <c r="G54" s="91">
        <v>52.060993605509</v>
      </c>
      <c r="H54" s="123" t="s">
        <v>324</v>
      </c>
      <c r="I54" s="91">
        <v>64.39125910509887</v>
      </c>
      <c r="J54" s="123" t="s">
        <v>324</v>
      </c>
      <c r="K54" s="91">
        <v>75.18833535844472</v>
      </c>
      <c r="L54" s="120" t="s">
        <v>324</v>
      </c>
      <c r="M54" s="89"/>
      <c r="N54" s="120" t="s">
        <v>324</v>
      </c>
      <c r="O54" s="89"/>
      <c r="P54" s="120" t="s">
        <v>324</v>
      </c>
      <c r="Q54" s="89"/>
      <c r="R54" s="120" t="s">
        <v>324</v>
      </c>
      <c r="S54" s="89"/>
      <c r="T54" s="120" t="s">
        <v>324</v>
      </c>
      <c r="U54" s="89"/>
      <c r="V54" s="120" t="s">
        <v>324</v>
      </c>
      <c r="W54" s="91">
        <f t="shared" si="1"/>
        <v>63.880196023017525</v>
      </c>
      <c r="X54" s="89"/>
      <c r="Y54" s="89"/>
      <c r="Z54" s="89"/>
      <c r="AA54" s="89"/>
      <c r="AB54" s="88">
        <v>63.880196023017525</v>
      </c>
      <c r="AC54"/>
      <c r="AD54"/>
      <c r="AE54"/>
    </row>
    <row r="55" spans="2:31" s="88" customFormat="1" ht="12.75">
      <c r="B55" s="88" t="s">
        <v>425</v>
      </c>
      <c r="C55" s="88" t="s">
        <v>421</v>
      </c>
      <c r="D55" s="88" t="s">
        <v>16</v>
      </c>
      <c r="E55" s="88" t="s">
        <v>15</v>
      </c>
      <c r="F55" s="120" t="s">
        <v>324</v>
      </c>
      <c r="G55" s="91">
        <v>0.3443187407771766</v>
      </c>
      <c r="H55" s="123" t="s">
        <v>324</v>
      </c>
      <c r="I55" s="91">
        <v>0.12091571279916756</v>
      </c>
      <c r="J55" s="123" t="s">
        <v>324</v>
      </c>
      <c r="K55" s="91">
        <v>0.61239368165249</v>
      </c>
      <c r="L55" s="120" t="s">
        <v>324</v>
      </c>
      <c r="M55" s="89"/>
      <c r="N55" s="120" t="s">
        <v>324</v>
      </c>
      <c r="O55" s="89"/>
      <c r="P55" s="120" t="s">
        <v>324</v>
      </c>
      <c r="Q55" s="89"/>
      <c r="R55" s="120" t="s">
        <v>324</v>
      </c>
      <c r="S55" s="89"/>
      <c r="T55" s="120" t="s">
        <v>324</v>
      </c>
      <c r="U55" s="89"/>
      <c r="V55" s="120" t="s">
        <v>324</v>
      </c>
      <c r="W55" s="91">
        <f t="shared" si="1"/>
        <v>0.35920937840961137</v>
      </c>
      <c r="X55" s="89"/>
      <c r="Y55" s="89"/>
      <c r="Z55" s="89"/>
      <c r="AA55" s="89"/>
      <c r="AB55" s="88">
        <v>0.35920937840961137</v>
      </c>
      <c r="AC55"/>
      <c r="AD55"/>
      <c r="AE55"/>
    </row>
    <row r="56" spans="2:31" s="88" customFormat="1" ht="12.75">
      <c r="B56" s="88" t="s">
        <v>50</v>
      </c>
      <c r="C56" s="88" t="s">
        <v>421</v>
      </c>
      <c r="D56" s="88" t="s">
        <v>16</v>
      </c>
      <c r="E56" s="88" t="s">
        <v>15</v>
      </c>
      <c r="F56" s="120" t="s">
        <v>324</v>
      </c>
      <c r="G56" s="91">
        <v>2.2119989287399417</v>
      </c>
      <c r="H56" s="123" t="s">
        <v>324</v>
      </c>
      <c r="I56" s="91">
        <v>2.166929793276</v>
      </c>
      <c r="J56" s="123" t="s">
        <v>324</v>
      </c>
      <c r="K56" s="91">
        <v>2.147728674913838</v>
      </c>
      <c r="L56" s="120" t="s">
        <v>324</v>
      </c>
      <c r="M56" s="89"/>
      <c r="N56" s="120" t="s">
        <v>324</v>
      </c>
      <c r="O56" s="89"/>
      <c r="P56" s="120" t="s">
        <v>324</v>
      </c>
      <c r="Q56" s="89"/>
      <c r="R56" s="120" t="s">
        <v>324</v>
      </c>
      <c r="S56" s="89"/>
      <c r="T56" s="120" t="s">
        <v>324</v>
      </c>
      <c r="U56" s="89"/>
      <c r="V56" s="120" t="s">
        <v>324</v>
      </c>
      <c r="W56" s="91">
        <f t="shared" si="1"/>
        <v>2.17555246564326</v>
      </c>
      <c r="X56" s="89"/>
      <c r="Y56" s="89"/>
      <c r="Z56" s="89"/>
      <c r="AA56" s="89"/>
      <c r="AB56" s="88">
        <v>2.17555246564326</v>
      </c>
      <c r="AC56"/>
      <c r="AD56"/>
      <c r="AE56"/>
    </row>
    <row r="57" spans="2:31" s="88" customFormat="1" ht="12.75">
      <c r="B57" s="88" t="s">
        <v>51</v>
      </c>
      <c r="C57" s="88" t="s">
        <v>421</v>
      </c>
      <c r="D57" s="88" t="s">
        <v>16</v>
      </c>
      <c r="E57" s="88" t="s">
        <v>15</v>
      </c>
      <c r="F57" s="120" t="s">
        <v>324</v>
      </c>
      <c r="G57" s="91">
        <v>1.1107518483314123</v>
      </c>
      <c r="H57" s="123" t="s">
        <v>324</v>
      </c>
      <c r="I57" s="91">
        <v>1.0363051919167</v>
      </c>
      <c r="J57" s="123" t="s">
        <v>324</v>
      </c>
      <c r="K57" s="91">
        <v>0.5924743281204744</v>
      </c>
      <c r="L57" s="120" t="s">
        <v>324</v>
      </c>
      <c r="M57" s="89"/>
      <c r="N57" s="120" t="s">
        <v>324</v>
      </c>
      <c r="O57" s="89"/>
      <c r="P57" s="120" t="s">
        <v>324</v>
      </c>
      <c r="Q57" s="89"/>
      <c r="R57" s="120" t="s">
        <v>324</v>
      </c>
      <c r="S57" s="89"/>
      <c r="T57" s="120" t="s">
        <v>324</v>
      </c>
      <c r="U57" s="89"/>
      <c r="V57" s="120" t="s">
        <v>324</v>
      </c>
      <c r="W57" s="91">
        <f t="shared" si="1"/>
        <v>0.9131771227895289</v>
      </c>
      <c r="X57" s="89"/>
      <c r="Y57" s="89"/>
      <c r="Z57" s="89"/>
      <c r="AA57" s="89"/>
      <c r="AB57" s="88">
        <v>0.9131771227895289</v>
      </c>
      <c r="AC57"/>
      <c r="AD57"/>
      <c r="AE57"/>
    </row>
    <row r="58" spans="2:31" s="88" customFormat="1" ht="12.75">
      <c r="B58" s="88" t="s">
        <v>420</v>
      </c>
      <c r="C58" s="88" t="s">
        <v>421</v>
      </c>
      <c r="D58" s="88" t="s">
        <v>57</v>
      </c>
      <c r="E58" s="88" t="s">
        <v>15</v>
      </c>
      <c r="F58" s="120"/>
      <c r="G58" s="91">
        <f>G56+2*G57</f>
        <v>4.433502625402767</v>
      </c>
      <c r="H58" s="123"/>
      <c r="I58" s="91">
        <f>I56+2*I57</f>
        <v>4.2395401771094</v>
      </c>
      <c r="J58" s="123"/>
      <c r="K58" s="91">
        <f>K56+2*K57</f>
        <v>3.3326773311547866</v>
      </c>
      <c r="L58" s="120"/>
      <c r="M58" s="89"/>
      <c r="N58" s="120"/>
      <c r="O58" s="89"/>
      <c r="P58" s="120"/>
      <c r="Q58" s="89"/>
      <c r="R58" s="120"/>
      <c r="S58" s="89"/>
      <c r="T58" s="120"/>
      <c r="U58" s="89"/>
      <c r="V58" s="120"/>
      <c r="W58" s="91">
        <f t="shared" si="1"/>
        <v>4.001906711222318</v>
      </c>
      <c r="X58" s="89"/>
      <c r="Y58" s="89"/>
      <c r="Z58" s="89"/>
      <c r="AA58" s="89"/>
      <c r="AC58"/>
      <c r="AD58"/>
      <c r="AE58"/>
    </row>
    <row r="59" spans="6:31" s="88" customFormat="1" ht="12.75">
      <c r="F59" s="120"/>
      <c r="G59" s="91"/>
      <c r="H59" s="123"/>
      <c r="I59" s="91"/>
      <c r="J59" s="123"/>
      <c r="K59" s="91"/>
      <c r="L59" s="120"/>
      <c r="M59" s="89"/>
      <c r="N59" s="120"/>
      <c r="O59" s="89"/>
      <c r="P59" s="120"/>
      <c r="Q59" s="89"/>
      <c r="R59" s="120"/>
      <c r="S59" s="89"/>
      <c r="T59" s="120"/>
      <c r="U59" s="89"/>
      <c r="V59" s="120"/>
      <c r="W59" s="89"/>
      <c r="X59" s="89"/>
      <c r="Y59" s="89"/>
      <c r="Z59" s="89"/>
      <c r="AA59" s="89"/>
      <c r="AC59"/>
      <c r="AD59"/>
      <c r="AE59"/>
    </row>
    <row r="60" spans="2:57" s="92" customFormat="1" ht="12.75">
      <c r="B60" s="92" t="s">
        <v>327</v>
      </c>
      <c r="C60" s="92" t="s">
        <v>422</v>
      </c>
      <c r="D60" s="92" t="s">
        <v>18</v>
      </c>
      <c r="F60" s="99"/>
      <c r="G60" s="93">
        <v>99.9672</v>
      </c>
      <c r="H60" s="96"/>
      <c r="I60" s="93">
        <v>99.9879</v>
      </c>
      <c r="J60" s="96"/>
      <c r="K60" s="93">
        <v>99.9904</v>
      </c>
      <c r="L60" s="96"/>
      <c r="M60" s="93"/>
      <c r="N60" s="96"/>
      <c r="O60" s="93"/>
      <c r="P60" s="96"/>
      <c r="Q60" s="93"/>
      <c r="R60" s="96"/>
      <c r="S60" s="93"/>
      <c r="T60" s="96"/>
      <c r="U60" s="93"/>
      <c r="V60" s="96"/>
      <c r="W60" s="93"/>
      <c r="X60" s="93"/>
      <c r="Y60" s="93"/>
      <c r="Z60" s="93"/>
      <c r="AA60" s="93"/>
      <c r="AB60" s="93"/>
      <c r="AC60"/>
      <c r="AD60"/>
      <c r="AE60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</row>
    <row r="61" spans="2:57" s="92" customFormat="1" ht="12.75">
      <c r="B61" s="92" t="s">
        <v>328</v>
      </c>
      <c r="C61" s="92" t="s">
        <v>422</v>
      </c>
      <c r="D61" s="92" t="s">
        <v>18</v>
      </c>
      <c r="F61" s="99"/>
      <c r="G61" s="93">
        <v>99.9996</v>
      </c>
      <c r="H61" s="96"/>
      <c r="I61" s="93">
        <v>99.9996</v>
      </c>
      <c r="J61" s="96"/>
      <c r="K61" s="93">
        <v>99.9996</v>
      </c>
      <c r="L61" s="96"/>
      <c r="M61" s="93"/>
      <c r="N61" s="96"/>
      <c r="O61" s="93"/>
      <c r="P61" s="96"/>
      <c r="Q61" s="93"/>
      <c r="R61" s="96"/>
      <c r="S61" s="93"/>
      <c r="T61" s="96"/>
      <c r="U61" s="93"/>
      <c r="V61" s="96"/>
      <c r="W61" s="93"/>
      <c r="X61" s="93"/>
      <c r="Y61" s="93"/>
      <c r="Z61" s="93"/>
      <c r="AA61" s="93"/>
      <c r="AB61" s="93"/>
      <c r="AC61"/>
      <c r="AD61"/>
      <c r="AE61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</row>
    <row r="62" spans="2:57" s="92" customFormat="1" ht="12.75">
      <c r="B62" s="92" t="s">
        <v>329</v>
      </c>
      <c r="C62" s="92" t="s">
        <v>422</v>
      </c>
      <c r="D62" s="92" t="s">
        <v>18</v>
      </c>
      <c r="F62" s="99"/>
      <c r="G62" s="93">
        <v>99.9996</v>
      </c>
      <c r="H62" s="96"/>
      <c r="I62" s="93">
        <v>99.9996</v>
      </c>
      <c r="J62" s="96"/>
      <c r="K62" s="93">
        <v>99.9996</v>
      </c>
      <c r="L62" s="96"/>
      <c r="M62" s="93"/>
      <c r="N62" s="96"/>
      <c r="O62" s="93"/>
      <c r="P62" s="96"/>
      <c r="Q62" s="93"/>
      <c r="R62" s="96"/>
      <c r="S62" s="93"/>
      <c r="T62" s="96"/>
      <c r="U62" s="93"/>
      <c r="V62" s="96"/>
      <c r="W62" s="93"/>
      <c r="X62" s="93"/>
      <c r="Y62" s="93"/>
      <c r="Z62" s="93"/>
      <c r="AA62" s="93"/>
      <c r="AB62" s="93"/>
      <c r="AC62"/>
      <c r="AD62"/>
      <c r="AE62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</row>
    <row r="63" spans="6:67" s="88" customFormat="1" ht="12.75">
      <c r="F63" s="121"/>
      <c r="G63" s="91"/>
      <c r="H63" s="123"/>
      <c r="I63" s="91"/>
      <c r="J63" s="123"/>
      <c r="K63" s="91"/>
      <c r="L63" s="123"/>
      <c r="M63" s="91"/>
      <c r="N63" s="123"/>
      <c r="O63" s="91"/>
      <c r="P63" s="123"/>
      <c r="Q63" s="91"/>
      <c r="R63" s="123"/>
      <c r="S63" s="91"/>
      <c r="T63" s="123"/>
      <c r="U63" s="91"/>
      <c r="V63" s="123"/>
      <c r="W63" s="91"/>
      <c r="X63" s="91"/>
      <c r="Y63" s="91"/>
      <c r="Z63" s="91"/>
      <c r="AA63" s="91"/>
      <c r="AB63" s="91"/>
      <c r="AC63"/>
      <c r="AD63"/>
      <c r="AE63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</row>
    <row r="64" spans="2:67" s="88" customFormat="1" ht="12.75">
      <c r="B64" s="88" t="s">
        <v>89</v>
      </c>
      <c r="C64" s="88" t="s">
        <v>332</v>
      </c>
      <c r="D64" s="92" t="s">
        <v>421</v>
      </c>
      <c r="F64" s="121"/>
      <c r="G64" s="91"/>
      <c r="H64" s="123"/>
      <c r="I64" s="91"/>
      <c r="J64" s="123"/>
      <c r="K64" s="91"/>
      <c r="L64" s="123"/>
      <c r="M64" s="91"/>
      <c r="N64" s="123"/>
      <c r="O64" s="91"/>
      <c r="P64" s="123"/>
      <c r="Q64" s="91"/>
      <c r="R64" s="123"/>
      <c r="S64" s="91"/>
      <c r="T64" s="123"/>
      <c r="U64" s="91"/>
      <c r="V64" s="123"/>
      <c r="W64" s="91"/>
      <c r="X64" s="91"/>
      <c r="Y64" s="91"/>
      <c r="Z64" s="91"/>
      <c r="AA64" s="91"/>
      <c r="AB64" s="91"/>
      <c r="AC64"/>
      <c r="AD64"/>
      <c r="AE64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</row>
    <row r="65" spans="2:67" s="88" customFormat="1" ht="12.75">
      <c r="B65" s="8" t="s">
        <v>82</v>
      </c>
      <c r="C65" s="8"/>
      <c r="D65" s="8" t="s">
        <v>17</v>
      </c>
      <c r="F65" s="121"/>
      <c r="G65" s="91">
        <v>46967</v>
      </c>
      <c r="H65" s="123"/>
      <c r="I65" s="91">
        <v>51037</v>
      </c>
      <c r="J65" s="123"/>
      <c r="K65" s="91">
        <v>57331</v>
      </c>
      <c r="L65" s="123"/>
      <c r="M65" s="91"/>
      <c r="N65" s="123"/>
      <c r="O65" s="91"/>
      <c r="P65" s="123"/>
      <c r="Q65" s="91"/>
      <c r="R65" s="123"/>
      <c r="S65" s="91"/>
      <c r="T65" s="123"/>
      <c r="U65" s="91"/>
      <c r="V65" s="123"/>
      <c r="W65" s="91"/>
      <c r="X65" s="91"/>
      <c r="Y65" s="91"/>
      <c r="Z65" s="91"/>
      <c r="AA65" s="91"/>
      <c r="AB65" s="91"/>
      <c r="AC65"/>
      <c r="AD65"/>
      <c r="AE65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</row>
    <row r="66" spans="2:67" s="88" customFormat="1" ht="12.75">
      <c r="B66" s="8" t="s">
        <v>87</v>
      </c>
      <c r="C66" s="8"/>
      <c r="D66" s="8" t="s">
        <v>18</v>
      </c>
      <c r="F66" s="121"/>
      <c r="G66" s="91">
        <v>10.77</v>
      </c>
      <c r="H66" s="123"/>
      <c r="I66" s="91">
        <v>11.39</v>
      </c>
      <c r="J66" s="123"/>
      <c r="K66" s="91">
        <v>12.77</v>
      </c>
      <c r="L66" s="123"/>
      <c r="M66" s="91"/>
      <c r="N66" s="123"/>
      <c r="O66" s="91"/>
      <c r="P66" s="123"/>
      <c r="Q66" s="91"/>
      <c r="R66" s="123"/>
      <c r="S66" s="91"/>
      <c r="T66" s="123"/>
      <c r="U66" s="91"/>
      <c r="V66" s="123"/>
      <c r="W66" s="91"/>
      <c r="X66" s="91"/>
      <c r="Y66" s="91"/>
      <c r="Z66" s="91"/>
      <c r="AA66" s="91"/>
      <c r="AB66" s="91"/>
      <c r="AC66"/>
      <c r="AD66"/>
      <c r="AE66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</row>
    <row r="67" spans="2:67" s="88" customFormat="1" ht="12.75">
      <c r="B67" s="8" t="s">
        <v>88</v>
      </c>
      <c r="C67" s="8"/>
      <c r="D67" s="8" t="s">
        <v>18</v>
      </c>
      <c r="F67" s="121"/>
      <c r="G67" s="91">
        <v>34.3</v>
      </c>
      <c r="H67" s="123"/>
      <c r="I67" s="91">
        <v>33</v>
      </c>
      <c r="J67" s="123"/>
      <c r="K67" s="91">
        <v>28.9</v>
      </c>
      <c r="L67" s="123"/>
      <c r="M67" s="91"/>
      <c r="N67" s="123"/>
      <c r="O67" s="91"/>
      <c r="P67" s="123"/>
      <c r="Q67" s="91"/>
      <c r="R67" s="123"/>
      <c r="S67" s="91"/>
      <c r="T67" s="123"/>
      <c r="U67" s="91"/>
      <c r="V67" s="123"/>
      <c r="W67" s="91"/>
      <c r="X67" s="91"/>
      <c r="Y67" s="91"/>
      <c r="Z67" s="91"/>
      <c r="AA67" s="91"/>
      <c r="AB67" s="91"/>
      <c r="AC67"/>
      <c r="AD67"/>
      <c r="AE67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</row>
    <row r="68" spans="2:67" s="88" customFormat="1" ht="12.75">
      <c r="B68" s="8" t="s">
        <v>81</v>
      </c>
      <c r="C68" s="8"/>
      <c r="D68" s="8" t="s">
        <v>19</v>
      </c>
      <c r="F68" s="121"/>
      <c r="G68" s="91">
        <v>203</v>
      </c>
      <c r="H68" s="123"/>
      <c r="I68" s="91">
        <v>203</v>
      </c>
      <c r="J68" s="123"/>
      <c r="K68" s="91">
        <v>201</v>
      </c>
      <c r="L68" s="123"/>
      <c r="M68" s="91"/>
      <c r="N68" s="123"/>
      <c r="O68" s="91"/>
      <c r="P68" s="123"/>
      <c r="Q68" s="91"/>
      <c r="R68" s="123"/>
      <c r="S68" s="91"/>
      <c r="T68" s="123"/>
      <c r="U68" s="91"/>
      <c r="V68" s="123"/>
      <c r="W68" s="91"/>
      <c r="X68" s="91"/>
      <c r="Y68" s="91"/>
      <c r="Z68" s="91"/>
      <c r="AA68" s="91"/>
      <c r="AB68" s="91"/>
      <c r="AC68"/>
      <c r="AD68"/>
      <c r="AE68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</row>
    <row r="69" spans="6:57" s="92" customFormat="1" ht="12.75">
      <c r="F69" s="99"/>
      <c r="G69" s="93"/>
      <c r="H69" s="96"/>
      <c r="I69" s="93"/>
      <c r="J69" s="96"/>
      <c r="K69" s="93"/>
      <c r="L69" s="96"/>
      <c r="M69" s="93"/>
      <c r="N69" s="96"/>
      <c r="O69" s="93"/>
      <c r="P69" s="96"/>
      <c r="Q69" s="93"/>
      <c r="R69" s="96"/>
      <c r="S69" s="93"/>
      <c r="T69" s="96"/>
      <c r="U69" s="93"/>
      <c r="V69" s="96"/>
      <c r="W69" s="93"/>
      <c r="X69" s="93"/>
      <c r="Y69" s="93"/>
      <c r="Z69" s="93"/>
      <c r="AA69" s="93"/>
      <c r="AB69" s="93"/>
      <c r="AC69"/>
      <c r="AD69"/>
      <c r="AE69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</row>
    <row r="70" spans="2:31" s="88" customFormat="1" ht="12.75">
      <c r="B70" s="88" t="s">
        <v>89</v>
      </c>
      <c r="C70" s="88" t="s">
        <v>331</v>
      </c>
      <c r="D70" s="8" t="s">
        <v>422</v>
      </c>
      <c r="F70" s="120"/>
      <c r="G70" s="91"/>
      <c r="H70" s="123"/>
      <c r="I70" s="91"/>
      <c r="J70" s="123"/>
      <c r="K70" s="91"/>
      <c r="L70" s="120"/>
      <c r="M70" s="89"/>
      <c r="N70" s="120"/>
      <c r="O70" s="89"/>
      <c r="P70" s="120"/>
      <c r="Q70" s="89"/>
      <c r="R70" s="120"/>
      <c r="S70" s="89"/>
      <c r="T70" s="120"/>
      <c r="U70" s="89"/>
      <c r="V70" s="120"/>
      <c r="W70" s="89"/>
      <c r="X70" s="89"/>
      <c r="Y70" s="89"/>
      <c r="Z70" s="89"/>
      <c r="AA70" s="89"/>
      <c r="AC70"/>
      <c r="AD70"/>
      <c r="AE70"/>
    </row>
    <row r="71" spans="2:67" s="88" customFormat="1" ht="12.75">
      <c r="B71" s="8" t="s">
        <v>82</v>
      </c>
      <c r="C71" s="8"/>
      <c r="D71" s="8" t="s">
        <v>17</v>
      </c>
      <c r="F71" s="121"/>
      <c r="G71" s="91">
        <v>47657</v>
      </c>
      <c r="H71" s="123"/>
      <c r="I71" s="91">
        <v>51683</v>
      </c>
      <c r="J71" s="123"/>
      <c r="K71" s="91">
        <v>58718</v>
      </c>
      <c r="L71" s="123"/>
      <c r="M71" s="91"/>
      <c r="N71" s="123"/>
      <c r="O71" s="91"/>
      <c r="P71" s="123"/>
      <c r="Q71" s="91"/>
      <c r="R71" s="123"/>
      <c r="S71" s="91"/>
      <c r="T71" s="123"/>
      <c r="U71" s="91"/>
      <c r="V71" s="123"/>
      <c r="W71" s="91"/>
      <c r="X71" s="91"/>
      <c r="Y71" s="91"/>
      <c r="Z71" s="91"/>
      <c r="AA71" s="91"/>
      <c r="AB71" s="91"/>
      <c r="AC71"/>
      <c r="AD71"/>
      <c r="AE7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</row>
    <row r="72" spans="2:67" s="88" customFormat="1" ht="12.75">
      <c r="B72" s="8" t="s">
        <v>87</v>
      </c>
      <c r="C72" s="8"/>
      <c r="D72" s="8" t="s">
        <v>18</v>
      </c>
      <c r="F72" s="121"/>
      <c r="G72" s="91">
        <v>10.9</v>
      </c>
      <c r="H72" s="123"/>
      <c r="I72" s="91">
        <v>11.39</v>
      </c>
      <c r="J72" s="123"/>
      <c r="K72" s="91">
        <v>12.77</v>
      </c>
      <c r="L72" s="123"/>
      <c r="M72" s="91"/>
      <c r="N72" s="123"/>
      <c r="O72" s="91"/>
      <c r="P72" s="123"/>
      <c r="Q72" s="91"/>
      <c r="R72" s="123"/>
      <c r="S72" s="91"/>
      <c r="T72" s="123"/>
      <c r="U72" s="91"/>
      <c r="V72" s="123"/>
      <c r="W72" s="91"/>
      <c r="X72" s="91"/>
      <c r="Y72" s="91"/>
      <c r="Z72" s="91"/>
      <c r="AA72" s="91"/>
      <c r="AB72" s="91"/>
      <c r="AC72"/>
      <c r="AD72"/>
      <c r="AE72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</row>
    <row r="73" spans="2:67" s="88" customFormat="1" ht="12.75">
      <c r="B73" s="8" t="s">
        <v>88</v>
      </c>
      <c r="C73" s="8"/>
      <c r="D73" s="8" t="s">
        <v>18</v>
      </c>
      <c r="F73" s="121"/>
      <c r="G73" s="91">
        <v>33.6</v>
      </c>
      <c r="H73" s="123"/>
      <c r="I73" s="91">
        <v>32.2</v>
      </c>
      <c r="J73" s="123"/>
      <c r="K73" s="91">
        <v>28</v>
      </c>
      <c r="L73" s="123"/>
      <c r="M73" s="91"/>
      <c r="N73" s="123"/>
      <c r="O73" s="91"/>
      <c r="P73" s="123"/>
      <c r="Q73" s="91"/>
      <c r="R73" s="123"/>
      <c r="S73" s="91"/>
      <c r="T73" s="123"/>
      <c r="U73" s="91"/>
      <c r="V73" s="123"/>
      <c r="W73" s="91"/>
      <c r="X73" s="91"/>
      <c r="Y73" s="91"/>
      <c r="Z73" s="91"/>
      <c r="AA73" s="91"/>
      <c r="AB73" s="91"/>
      <c r="AC73"/>
      <c r="AD73"/>
      <c r="AE73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</row>
    <row r="74" spans="2:67" s="88" customFormat="1" ht="12.75">
      <c r="B74" s="8" t="s">
        <v>81</v>
      </c>
      <c r="C74" s="8"/>
      <c r="D74" s="8" t="s">
        <v>19</v>
      </c>
      <c r="F74" s="121"/>
      <c r="G74" s="91">
        <v>198</v>
      </c>
      <c r="H74" s="123"/>
      <c r="I74" s="91">
        <v>200</v>
      </c>
      <c r="J74" s="123"/>
      <c r="K74" s="91">
        <v>198</v>
      </c>
      <c r="L74" s="123"/>
      <c r="M74" s="91"/>
      <c r="N74" s="123"/>
      <c r="O74" s="91"/>
      <c r="P74" s="123"/>
      <c r="Q74" s="91"/>
      <c r="R74" s="123"/>
      <c r="S74" s="91"/>
      <c r="T74" s="123"/>
      <c r="U74" s="91"/>
      <c r="V74" s="123"/>
      <c r="W74" s="91"/>
      <c r="X74" s="91"/>
      <c r="Y74" s="91"/>
      <c r="Z74" s="91"/>
      <c r="AA74" s="91"/>
      <c r="AB74" s="91"/>
      <c r="AC74"/>
      <c r="AD74"/>
      <c r="AE74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</row>
    <row r="75" spans="6:31" s="88" customFormat="1" ht="12.75">
      <c r="F75" s="120"/>
      <c r="G75" s="91"/>
      <c r="H75" s="123"/>
      <c r="I75" s="91"/>
      <c r="J75" s="123"/>
      <c r="K75" s="91"/>
      <c r="L75" s="120"/>
      <c r="M75" s="89"/>
      <c r="N75" s="120"/>
      <c r="O75" s="89"/>
      <c r="P75" s="120"/>
      <c r="Q75" s="89"/>
      <c r="R75" s="120"/>
      <c r="S75" s="89"/>
      <c r="T75" s="120"/>
      <c r="U75" s="89"/>
      <c r="V75" s="120"/>
      <c r="W75" s="89"/>
      <c r="X75" s="89"/>
      <c r="Y75" s="89"/>
      <c r="Z75" s="89"/>
      <c r="AA75" s="89"/>
      <c r="AC75"/>
      <c r="AD75"/>
      <c r="AE75"/>
    </row>
    <row r="76" spans="1:31" s="88" customFormat="1" ht="12.75">
      <c r="A76" s="88">
        <v>3</v>
      </c>
      <c r="B76" s="41" t="s">
        <v>297</v>
      </c>
      <c r="F76" s="120"/>
      <c r="G76" s="50" t="s">
        <v>316</v>
      </c>
      <c r="H76" s="50"/>
      <c r="I76" s="50" t="s">
        <v>317</v>
      </c>
      <c r="J76" s="50"/>
      <c r="K76" s="50" t="s">
        <v>318</v>
      </c>
      <c r="L76" s="50"/>
      <c r="M76" s="50" t="s">
        <v>319</v>
      </c>
      <c r="N76" s="50"/>
      <c r="O76" s="50" t="s">
        <v>320</v>
      </c>
      <c r="P76" s="50"/>
      <c r="Q76" s="50" t="s">
        <v>321</v>
      </c>
      <c r="R76" s="50"/>
      <c r="S76" s="50" t="s">
        <v>322</v>
      </c>
      <c r="T76" s="50"/>
      <c r="U76" s="50" t="s">
        <v>323</v>
      </c>
      <c r="V76" s="50"/>
      <c r="W76" s="50" t="s">
        <v>47</v>
      </c>
      <c r="X76" s="89"/>
      <c r="Y76" s="89"/>
      <c r="Z76" s="89"/>
      <c r="AA76" s="89"/>
      <c r="AC76"/>
      <c r="AD76"/>
      <c r="AE76"/>
    </row>
    <row r="77" spans="6:31" s="88" customFormat="1" ht="12.75">
      <c r="F77" s="120"/>
      <c r="G77" s="91"/>
      <c r="H77" s="123"/>
      <c r="I77" s="91"/>
      <c r="J77" s="123"/>
      <c r="K77" s="91"/>
      <c r="L77" s="120"/>
      <c r="M77" s="89"/>
      <c r="N77" s="120"/>
      <c r="O77" s="89"/>
      <c r="P77" s="120"/>
      <c r="Q77" s="89"/>
      <c r="R77" s="120"/>
      <c r="S77" s="89"/>
      <c r="T77" s="120"/>
      <c r="U77" s="89"/>
      <c r="V77" s="120"/>
      <c r="W77" s="89"/>
      <c r="X77" s="89"/>
      <c r="Y77" s="89"/>
      <c r="Z77" s="89"/>
      <c r="AA77" s="89"/>
      <c r="AC77"/>
      <c r="AD77"/>
      <c r="AE77"/>
    </row>
    <row r="78" spans="2:31" s="88" customFormat="1" ht="12.75">
      <c r="B78" s="88" t="s">
        <v>13</v>
      </c>
      <c r="C78" s="88" t="s">
        <v>421</v>
      </c>
      <c r="D78" s="88" t="s">
        <v>14</v>
      </c>
      <c r="E78" s="88" t="s">
        <v>15</v>
      </c>
      <c r="F78" s="120" t="s">
        <v>324</v>
      </c>
      <c r="G78" s="90">
        <v>0.002828310884848485</v>
      </c>
      <c r="H78" s="122" t="s">
        <v>324</v>
      </c>
      <c r="I78" s="90">
        <v>0.0018103627862069</v>
      </c>
      <c r="J78" s="122" t="s">
        <v>324</v>
      </c>
      <c r="K78" s="90">
        <v>0.0010447864835820898</v>
      </c>
      <c r="L78" s="122" t="s">
        <v>324</v>
      </c>
      <c r="M78" s="90"/>
      <c r="N78" s="122" t="s">
        <v>324</v>
      </c>
      <c r="O78" s="90"/>
      <c r="P78" s="122" t="s">
        <v>324</v>
      </c>
      <c r="Q78" s="90"/>
      <c r="R78" s="122" t="s">
        <v>324</v>
      </c>
      <c r="S78" s="90"/>
      <c r="T78" s="122" t="s">
        <v>324</v>
      </c>
      <c r="U78" s="90"/>
      <c r="V78" s="120" t="s">
        <v>324</v>
      </c>
      <c r="W78" s="90">
        <f aca="true" t="shared" si="2" ref="W78:W83">AVERAGE(G78,I78,K78)</f>
        <v>0.0018944867182124918</v>
      </c>
      <c r="X78" s="89"/>
      <c r="Y78" s="89"/>
      <c r="Z78" s="89"/>
      <c r="AA78" s="89"/>
      <c r="AB78" s="88">
        <v>0.0018944867182124913</v>
      </c>
      <c r="AC78"/>
      <c r="AD78"/>
      <c r="AE78"/>
    </row>
    <row r="79" spans="2:31" s="88" customFormat="1" ht="12.75">
      <c r="B79" s="88" t="s">
        <v>108</v>
      </c>
      <c r="C79" s="88" t="s">
        <v>421</v>
      </c>
      <c r="D79" s="88" t="s">
        <v>16</v>
      </c>
      <c r="E79" s="88" t="s">
        <v>15</v>
      </c>
      <c r="F79" s="120" t="s">
        <v>324</v>
      </c>
      <c r="G79" s="91">
        <v>9.137055837563452</v>
      </c>
      <c r="H79" s="123" t="s">
        <v>324</v>
      </c>
      <c r="I79" s="91">
        <v>10.885529157667387</v>
      </c>
      <c r="J79" s="123" t="s">
        <v>324</v>
      </c>
      <c r="K79" s="91">
        <v>11.518324607329843</v>
      </c>
      <c r="L79" s="120" t="s">
        <v>324</v>
      </c>
      <c r="M79" s="89"/>
      <c r="N79" s="120" t="s">
        <v>324</v>
      </c>
      <c r="O79" s="89"/>
      <c r="P79" s="120" t="s">
        <v>324</v>
      </c>
      <c r="Q79" s="89"/>
      <c r="R79" s="120" t="s">
        <v>324</v>
      </c>
      <c r="S79" s="89"/>
      <c r="T79" s="120" t="s">
        <v>324</v>
      </c>
      <c r="U79" s="89"/>
      <c r="V79" s="120" t="s">
        <v>324</v>
      </c>
      <c r="W79" s="91">
        <f t="shared" si="2"/>
        <v>10.513636534186894</v>
      </c>
      <c r="X79" s="89"/>
      <c r="Y79" s="89"/>
      <c r="Z79" s="89"/>
      <c r="AA79" s="89"/>
      <c r="AB79" s="88">
        <v>10.513636534186894</v>
      </c>
      <c r="AC79"/>
      <c r="AD79"/>
      <c r="AE79"/>
    </row>
    <row r="80" spans="2:31" s="88" customFormat="1" ht="12.75">
      <c r="B80" s="88" t="s">
        <v>425</v>
      </c>
      <c r="C80" s="88" t="s">
        <v>421</v>
      </c>
      <c r="D80" s="88" t="s">
        <v>16</v>
      </c>
      <c r="E80" s="88" t="s">
        <v>15</v>
      </c>
      <c r="F80" s="120" t="s">
        <v>324</v>
      </c>
      <c r="G80" s="91">
        <v>0.20304568527918787</v>
      </c>
      <c r="H80" s="123" t="s">
        <v>324</v>
      </c>
      <c r="I80" s="91">
        <v>0.4838012958963282</v>
      </c>
      <c r="J80" s="123" t="s">
        <v>324</v>
      </c>
      <c r="K80" s="91">
        <v>1.1727748691099478</v>
      </c>
      <c r="L80" s="120" t="s">
        <v>324</v>
      </c>
      <c r="M80" s="89"/>
      <c r="N80" s="120" t="s">
        <v>324</v>
      </c>
      <c r="O80" s="89"/>
      <c r="P80" s="120" t="s">
        <v>324</v>
      </c>
      <c r="Q80" s="89"/>
      <c r="R80" s="120" t="s">
        <v>324</v>
      </c>
      <c r="S80" s="89"/>
      <c r="T80" s="120" t="s">
        <v>324</v>
      </c>
      <c r="U80" s="89"/>
      <c r="V80" s="120" t="s">
        <v>324</v>
      </c>
      <c r="W80" s="91">
        <f t="shared" si="2"/>
        <v>0.6198739500951546</v>
      </c>
      <c r="X80" s="89"/>
      <c r="Y80" s="89"/>
      <c r="Z80" s="89"/>
      <c r="AA80" s="89"/>
      <c r="AB80" s="88">
        <v>0.6198739500951547</v>
      </c>
      <c r="AC80"/>
      <c r="AD80"/>
      <c r="AE80"/>
    </row>
    <row r="81" spans="2:31" s="88" customFormat="1" ht="12.75">
      <c r="B81" s="88" t="s">
        <v>50</v>
      </c>
      <c r="C81" s="88" t="s">
        <v>421</v>
      </c>
      <c r="D81" s="88" t="s">
        <v>16</v>
      </c>
      <c r="E81" s="88" t="s">
        <v>15</v>
      </c>
      <c r="F81" s="120" t="s">
        <v>324</v>
      </c>
      <c r="G81" s="91">
        <v>1.9903123815935428</v>
      </c>
      <c r="H81" s="123" t="s">
        <v>324</v>
      </c>
      <c r="I81" s="91">
        <v>1.7694092731858868</v>
      </c>
      <c r="J81" s="123" t="s">
        <v>324</v>
      </c>
      <c r="K81" s="91">
        <v>0.9319924065641614</v>
      </c>
      <c r="L81" s="120" t="s">
        <v>324</v>
      </c>
      <c r="M81" s="89"/>
      <c r="N81" s="120" t="s">
        <v>324</v>
      </c>
      <c r="O81" s="89"/>
      <c r="P81" s="120" t="s">
        <v>324</v>
      </c>
      <c r="Q81" s="89"/>
      <c r="R81" s="120" t="s">
        <v>324</v>
      </c>
      <c r="S81" s="89"/>
      <c r="T81" s="120" t="s">
        <v>324</v>
      </c>
      <c r="U81" s="89"/>
      <c r="V81" s="120" t="s">
        <v>324</v>
      </c>
      <c r="W81" s="91">
        <f t="shared" si="2"/>
        <v>1.5639046871145303</v>
      </c>
      <c r="X81" s="89"/>
      <c r="Y81" s="89"/>
      <c r="Z81" s="89"/>
      <c r="AA81" s="89"/>
      <c r="AB81" s="88">
        <v>1.5639046871145303</v>
      </c>
      <c r="AC81"/>
      <c r="AD81"/>
      <c r="AE81"/>
    </row>
    <row r="82" spans="2:31" s="88" customFormat="1" ht="12.75">
      <c r="B82" s="88" t="s">
        <v>51</v>
      </c>
      <c r="C82" s="88" t="s">
        <v>421</v>
      </c>
      <c r="D82" s="88" t="s">
        <v>16</v>
      </c>
      <c r="E82" s="88" t="s">
        <v>15</v>
      </c>
      <c r="F82" s="120" t="s">
        <v>324</v>
      </c>
      <c r="G82" s="91">
        <v>0.095927652912224</v>
      </c>
      <c r="H82" s="123" t="s">
        <v>102</v>
      </c>
      <c r="I82" s="91">
        <v>0.0627352444021454</v>
      </c>
      <c r="J82" s="123" t="s">
        <v>324</v>
      </c>
      <c r="K82" s="91">
        <v>0.2555420646489041</v>
      </c>
      <c r="L82" s="120" t="s">
        <v>324</v>
      </c>
      <c r="M82" s="89"/>
      <c r="N82" s="120" t="s">
        <v>324</v>
      </c>
      <c r="O82" s="89"/>
      <c r="P82" s="120" t="s">
        <v>324</v>
      </c>
      <c r="Q82" s="89"/>
      <c r="R82" s="120" t="s">
        <v>324</v>
      </c>
      <c r="S82" s="89"/>
      <c r="T82" s="120" t="s">
        <v>324</v>
      </c>
      <c r="U82" s="89"/>
      <c r="V82" s="120" t="s">
        <v>324</v>
      </c>
      <c r="W82" s="91">
        <f t="shared" si="2"/>
        <v>0.1380683206544245</v>
      </c>
      <c r="X82" s="89"/>
      <c r="Y82" s="89"/>
      <c r="Z82" s="89"/>
      <c r="AA82" s="89"/>
      <c r="AB82" s="88">
        <v>0.1380683206544245</v>
      </c>
      <c r="AC82"/>
      <c r="AD82"/>
      <c r="AE82"/>
    </row>
    <row r="83" spans="2:31" s="88" customFormat="1" ht="12.75">
      <c r="B83" s="88" t="s">
        <v>420</v>
      </c>
      <c r="C83" s="88" t="s">
        <v>421</v>
      </c>
      <c r="D83" s="88" t="s">
        <v>57</v>
      </c>
      <c r="E83" s="88" t="s">
        <v>15</v>
      </c>
      <c r="F83" s="120"/>
      <c r="G83" s="91">
        <f>G81+2*G82</f>
        <v>2.1821676874179907</v>
      </c>
      <c r="H83" s="123">
        <f>I82/I83*100</f>
        <v>3.310777056178755</v>
      </c>
      <c r="I83" s="91">
        <f>I81+2*I82</f>
        <v>1.8948797619901776</v>
      </c>
      <c r="J83" s="123"/>
      <c r="K83" s="91">
        <f>K81+2*K82</f>
        <v>1.4430765358619695</v>
      </c>
      <c r="L83" s="120"/>
      <c r="M83" s="89"/>
      <c r="N83" s="120"/>
      <c r="O83" s="89"/>
      <c r="P83" s="120"/>
      <c r="Q83" s="89"/>
      <c r="R83" s="120"/>
      <c r="S83" s="89"/>
      <c r="T83" s="120"/>
      <c r="U83" s="89"/>
      <c r="V83" s="120">
        <f>(H83*I83)/(3*W83)</f>
        <v>1.1364825241162646</v>
      </c>
      <c r="W83" s="91">
        <f t="shared" si="2"/>
        <v>1.8400413284233792</v>
      </c>
      <c r="X83" s="89"/>
      <c r="Y83" s="89"/>
      <c r="Z83" s="89"/>
      <c r="AA83" s="89"/>
      <c r="AC83"/>
      <c r="AD83"/>
      <c r="AE83"/>
    </row>
    <row r="84" spans="6:31" s="88" customFormat="1" ht="12.75">
      <c r="F84" s="120"/>
      <c r="G84" s="91"/>
      <c r="H84" s="123"/>
      <c r="I84" s="91"/>
      <c r="J84" s="123"/>
      <c r="K84" s="91"/>
      <c r="L84" s="120"/>
      <c r="M84" s="89"/>
      <c r="N84" s="120"/>
      <c r="O84" s="89"/>
      <c r="P84" s="120"/>
      <c r="Q84" s="89"/>
      <c r="R84" s="120"/>
      <c r="S84" s="89"/>
      <c r="T84" s="120"/>
      <c r="U84" s="89"/>
      <c r="V84" s="120"/>
      <c r="W84" s="89"/>
      <c r="X84" s="89"/>
      <c r="Y84" s="89"/>
      <c r="Z84" s="89"/>
      <c r="AA84" s="89"/>
      <c r="AC84"/>
      <c r="AD84"/>
      <c r="AE84"/>
    </row>
    <row r="85" spans="2:57" s="92" customFormat="1" ht="12.75">
      <c r="B85" s="92" t="s">
        <v>217</v>
      </c>
      <c r="C85" s="92" t="s">
        <v>422</v>
      </c>
      <c r="D85" s="92" t="s">
        <v>18</v>
      </c>
      <c r="F85" s="99"/>
      <c r="G85" s="93">
        <v>99.99988</v>
      </c>
      <c r="H85" s="96"/>
      <c r="I85" s="93">
        <v>99.99986</v>
      </c>
      <c r="J85" s="96"/>
      <c r="K85" s="93">
        <v>99.99988</v>
      </c>
      <c r="L85" s="96"/>
      <c r="M85" s="93"/>
      <c r="N85" s="96"/>
      <c r="O85" s="93"/>
      <c r="P85" s="96"/>
      <c r="Q85" s="93"/>
      <c r="R85" s="96"/>
      <c r="S85" s="93"/>
      <c r="T85" s="96"/>
      <c r="U85" s="93"/>
      <c r="V85" s="96"/>
      <c r="W85" s="93"/>
      <c r="X85" s="93"/>
      <c r="Y85" s="93"/>
      <c r="Z85" s="93"/>
      <c r="AA85" s="93"/>
      <c r="AB85" s="93"/>
      <c r="AC85"/>
      <c r="AD85"/>
      <c r="AE85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</row>
    <row r="86" spans="2:57" s="92" customFormat="1" ht="12.75">
      <c r="B86" s="92" t="s">
        <v>327</v>
      </c>
      <c r="C86" s="92" t="s">
        <v>422</v>
      </c>
      <c r="D86" s="92" t="s">
        <v>18</v>
      </c>
      <c r="F86" s="99"/>
      <c r="G86" s="93">
        <v>99.997</v>
      </c>
      <c r="H86" s="96"/>
      <c r="I86" s="93">
        <v>99.9978</v>
      </c>
      <c r="J86" s="96"/>
      <c r="K86" s="93">
        <v>99.9972</v>
      </c>
      <c r="L86" s="96"/>
      <c r="M86" s="93"/>
      <c r="N86" s="96"/>
      <c r="O86" s="93"/>
      <c r="P86" s="96"/>
      <c r="Q86" s="93"/>
      <c r="R86" s="96"/>
      <c r="S86" s="93"/>
      <c r="T86" s="96"/>
      <c r="U86" s="93"/>
      <c r="V86" s="96"/>
      <c r="W86" s="93"/>
      <c r="X86" s="93"/>
      <c r="Y86" s="93"/>
      <c r="Z86" s="93"/>
      <c r="AA86" s="93"/>
      <c r="AB86" s="93"/>
      <c r="AC86"/>
      <c r="AD86"/>
      <c r="AE86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</row>
    <row r="87" spans="2:57" s="92" customFormat="1" ht="12.75">
      <c r="B87" s="92" t="s">
        <v>328</v>
      </c>
      <c r="C87" s="92" t="s">
        <v>422</v>
      </c>
      <c r="D87" s="92" t="s">
        <v>18</v>
      </c>
      <c r="F87" s="99"/>
      <c r="G87" s="93">
        <v>99.9995</v>
      </c>
      <c r="H87" s="96"/>
      <c r="I87" s="93">
        <v>99.9995</v>
      </c>
      <c r="J87" s="96"/>
      <c r="K87" s="93">
        <v>99.9995</v>
      </c>
      <c r="L87" s="96"/>
      <c r="M87" s="93"/>
      <c r="N87" s="96"/>
      <c r="O87" s="93"/>
      <c r="P87" s="96"/>
      <c r="Q87" s="93"/>
      <c r="R87" s="96"/>
      <c r="S87" s="93"/>
      <c r="T87" s="96"/>
      <c r="U87" s="93"/>
      <c r="V87" s="96"/>
      <c r="W87" s="93"/>
      <c r="X87" s="93"/>
      <c r="Y87" s="93"/>
      <c r="Z87" s="93"/>
      <c r="AA87" s="93"/>
      <c r="AB87" s="93"/>
      <c r="AC87"/>
      <c r="AD87"/>
      <c r="AE87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</row>
    <row r="88" spans="6:67" s="88" customFormat="1" ht="12.75">
      <c r="F88" s="121"/>
      <c r="G88" s="91"/>
      <c r="H88" s="123"/>
      <c r="I88" s="91"/>
      <c r="J88" s="123"/>
      <c r="K88" s="91"/>
      <c r="L88" s="123"/>
      <c r="M88" s="91"/>
      <c r="N88" s="123"/>
      <c r="O88" s="91"/>
      <c r="P88" s="123"/>
      <c r="Q88" s="91"/>
      <c r="R88" s="123"/>
      <c r="S88" s="91"/>
      <c r="T88" s="123"/>
      <c r="U88" s="91"/>
      <c r="V88" s="123"/>
      <c r="W88" s="91"/>
      <c r="X88" s="91"/>
      <c r="Y88" s="91"/>
      <c r="Z88" s="91"/>
      <c r="AA88" s="91"/>
      <c r="AB88" s="91"/>
      <c r="AC88"/>
      <c r="AD88"/>
      <c r="AE88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</row>
    <row r="89" spans="2:67" s="88" customFormat="1" ht="12.75">
      <c r="B89" s="88" t="s">
        <v>89</v>
      </c>
      <c r="C89" s="88" t="s">
        <v>332</v>
      </c>
      <c r="D89" s="92" t="s">
        <v>421</v>
      </c>
      <c r="F89" s="121"/>
      <c r="G89" s="91"/>
      <c r="H89" s="123"/>
      <c r="I89" s="91"/>
      <c r="J89" s="123"/>
      <c r="K89" s="91"/>
      <c r="L89" s="123"/>
      <c r="M89" s="91"/>
      <c r="N89" s="123"/>
      <c r="O89" s="91"/>
      <c r="P89" s="123"/>
      <c r="Q89" s="91"/>
      <c r="R89" s="123"/>
      <c r="S89" s="91"/>
      <c r="T89" s="123"/>
      <c r="U89" s="91"/>
      <c r="V89" s="123"/>
      <c r="W89" s="91"/>
      <c r="X89" s="91"/>
      <c r="Y89" s="91"/>
      <c r="Z89" s="91"/>
      <c r="AA89" s="91"/>
      <c r="AB89" s="91"/>
      <c r="AC89"/>
      <c r="AD89"/>
      <c r="AE89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</row>
    <row r="90" spans="2:67" s="88" customFormat="1" ht="12.75">
      <c r="B90" s="8" t="s">
        <v>82</v>
      </c>
      <c r="C90" s="8"/>
      <c r="D90" s="8" t="s">
        <v>17</v>
      </c>
      <c r="F90" s="121"/>
      <c r="G90" s="91">
        <v>57343</v>
      </c>
      <c r="H90" s="123"/>
      <c r="I90" s="91">
        <v>58203</v>
      </c>
      <c r="J90" s="123"/>
      <c r="K90" s="91">
        <v>59373</v>
      </c>
      <c r="L90" s="123"/>
      <c r="M90" s="91"/>
      <c r="N90" s="123"/>
      <c r="O90" s="91"/>
      <c r="P90" s="123"/>
      <c r="Q90" s="91"/>
      <c r="R90" s="123"/>
      <c r="S90" s="91"/>
      <c r="T90" s="123"/>
      <c r="U90" s="91"/>
      <c r="V90" s="123"/>
      <c r="W90" s="91"/>
      <c r="X90" s="91"/>
      <c r="Y90" s="91"/>
      <c r="Z90" s="91"/>
      <c r="AA90" s="91"/>
      <c r="AB90" s="91"/>
      <c r="AC90"/>
      <c r="AD90"/>
      <c r="AE90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</row>
    <row r="91" spans="2:67" s="88" customFormat="1" ht="12.75">
      <c r="B91" s="8" t="s">
        <v>87</v>
      </c>
      <c r="C91" s="8"/>
      <c r="D91" s="8" t="s">
        <v>18</v>
      </c>
      <c r="F91" s="121"/>
      <c r="G91" s="91">
        <v>14.07</v>
      </c>
      <c r="H91" s="123"/>
      <c r="I91" s="91">
        <v>14.04</v>
      </c>
      <c r="J91" s="123"/>
      <c r="K91" s="91">
        <v>14.3</v>
      </c>
      <c r="L91" s="123"/>
      <c r="M91" s="91"/>
      <c r="N91" s="123"/>
      <c r="O91" s="91"/>
      <c r="P91" s="123"/>
      <c r="Q91" s="91"/>
      <c r="R91" s="123"/>
      <c r="S91" s="91"/>
      <c r="T91" s="123"/>
      <c r="U91" s="91"/>
      <c r="V91" s="123"/>
      <c r="W91" s="91"/>
      <c r="X91" s="91"/>
      <c r="Y91" s="91"/>
      <c r="Z91" s="91"/>
      <c r="AA91" s="91"/>
      <c r="AB91" s="91"/>
      <c r="AC91"/>
      <c r="AD91"/>
      <c r="AE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</row>
    <row r="92" spans="2:67" s="88" customFormat="1" ht="12.75">
      <c r="B92" s="8" t="s">
        <v>88</v>
      </c>
      <c r="C92" s="8"/>
      <c r="D92" s="8" t="s">
        <v>18</v>
      </c>
      <c r="F92" s="121"/>
      <c r="G92" s="91">
        <v>21.5</v>
      </c>
      <c r="H92" s="123"/>
      <c r="I92" s="91">
        <v>23.6</v>
      </c>
      <c r="J92" s="123"/>
      <c r="K92" s="91">
        <v>23.8</v>
      </c>
      <c r="L92" s="123"/>
      <c r="M92" s="91"/>
      <c r="N92" s="123"/>
      <c r="O92" s="91"/>
      <c r="P92" s="123"/>
      <c r="Q92" s="91"/>
      <c r="R92" s="123"/>
      <c r="S92" s="91"/>
      <c r="T92" s="123"/>
      <c r="U92" s="91"/>
      <c r="V92" s="123"/>
      <c r="W92" s="91"/>
      <c r="X92" s="91"/>
      <c r="Y92" s="91"/>
      <c r="Z92" s="91"/>
      <c r="AA92" s="91"/>
      <c r="AB92" s="91"/>
      <c r="AC92"/>
      <c r="AD92"/>
      <c r="AE92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</row>
    <row r="93" spans="2:67" s="88" customFormat="1" ht="12.75">
      <c r="B93" s="8" t="s">
        <v>81</v>
      </c>
      <c r="C93" s="8"/>
      <c r="D93" s="8" t="s">
        <v>19</v>
      </c>
      <c r="F93" s="121"/>
      <c r="G93" s="91">
        <v>202</v>
      </c>
      <c r="H93" s="123"/>
      <c r="I93" s="91">
        <v>201</v>
      </c>
      <c r="J93" s="123"/>
      <c r="K93" s="91">
        <v>204</v>
      </c>
      <c r="L93" s="123"/>
      <c r="M93" s="91"/>
      <c r="N93" s="123"/>
      <c r="O93" s="91"/>
      <c r="P93" s="123"/>
      <c r="Q93" s="91"/>
      <c r="R93" s="123"/>
      <c r="S93" s="91"/>
      <c r="T93" s="123"/>
      <c r="U93" s="91"/>
      <c r="V93" s="123"/>
      <c r="W93" s="91"/>
      <c r="X93" s="91"/>
      <c r="Y93" s="91"/>
      <c r="Z93" s="91"/>
      <c r="AA93" s="91"/>
      <c r="AB93" s="91"/>
      <c r="AC93"/>
      <c r="AD93"/>
      <c r="AE93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</row>
    <row r="94" spans="6:57" s="92" customFormat="1" ht="12.75">
      <c r="F94" s="99"/>
      <c r="G94" s="93"/>
      <c r="H94" s="96"/>
      <c r="I94" s="93"/>
      <c r="J94" s="96"/>
      <c r="K94" s="93"/>
      <c r="L94" s="96"/>
      <c r="M94" s="93"/>
      <c r="N94" s="96"/>
      <c r="O94" s="93"/>
      <c r="P94" s="96"/>
      <c r="Q94" s="93"/>
      <c r="R94" s="96"/>
      <c r="S94" s="93"/>
      <c r="T94" s="96"/>
      <c r="U94" s="93"/>
      <c r="V94" s="96"/>
      <c r="W94" s="93"/>
      <c r="X94" s="93"/>
      <c r="Y94" s="93"/>
      <c r="Z94" s="93"/>
      <c r="AA94" s="93"/>
      <c r="AB94" s="93"/>
      <c r="AC94"/>
      <c r="AD94"/>
      <c r="AE94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</row>
    <row r="95" spans="2:31" s="88" customFormat="1" ht="12.75">
      <c r="B95" s="88" t="s">
        <v>89</v>
      </c>
      <c r="C95" s="88" t="s">
        <v>331</v>
      </c>
      <c r="D95" s="8" t="s">
        <v>422</v>
      </c>
      <c r="F95" s="120"/>
      <c r="G95" s="91"/>
      <c r="H95" s="123"/>
      <c r="I95" s="91"/>
      <c r="J95" s="123"/>
      <c r="K95" s="91"/>
      <c r="L95" s="120"/>
      <c r="M95" s="89"/>
      <c r="N95" s="120"/>
      <c r="O95" s="89"/>
      <c r="P95" s="120"/>
      <c r="Q95" s="89"/>
      <c r="R95" s="120"/>
      <c r="S95" s="89"/>
      <c r="T95" s="120"/>
      <c r="U95" s="89"/>
      <c r="V95" s="120"/>
      <c r="W95" s="89"/>
      <c r="X95" s="89"/>
      <c r="Y95" s="89"/>
      <c r="Z95" s="89"/>
      <c r="AA95" s="89"/>
      <c r="AC95"/>
      <c r="AD95"/>
      <c r="AE95"/>
    </row>
    <row r="96" spans="2:67" s="88" customFormat="1" ht="12.75">
      <c r="B96" s="8" t="s">
        <v>82</v>
      </c>
      <c r="C96" s="8"/>
      <c r="D96" s="8" t="s">
        <v>17</v>
      </c>
      <c r="F96" s="121"/>
      <c r="G96" s="91">
        <v>57317</v>
      </c>
      <c r="H96" s="123"/>
      <c r="I96" s="91">
        <v>59136</v>
      </c>
      <c r="J96" s="123"/>
      <c r="K96" s="91">
        <v>59389</v>
      </c>
      <c r="L96" s="123"/>
      <c r="M96" s="91"/>
      <c r="N96" s="123"/>
      <c r="O96" s="91"/>
      <c r="P96" s="123"/>
      <c r="Q96" s="91"/>
      <c r="R96" s="123"/>
      <c r="S96" s="91"/>
      <c r="T96" s="123"/>
      <c r="U96" s="91"/>
      <c r="V96" s="123"/>
      <c r="W96" s="91"/>
      <c r="X96" s="91"/>
      <c r="Y96" s="91"/>
      <c r="Z96" s="91"/>
      <c r="AA96" s="91"/>
      <c r="AB96" s="91"/>
      <c r="AC96"/>
      <c r="AD96"/>
      <c r="AE96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</row>
    <row r="97" spans="2:67" s="88" customFormat="1" ht="12.75">
      <c r="B97" s="8" t="s">
        <v>87</v>
      </c>
      <c r="C97" s="8"/>
      <c r="D97" s="8" t="s">
        <v>18</v>
      </c>
      <c r="F97" s="121"/>
      <c r="G97" s="91">
        <v>14.14</v>
      </c>
      <c r="H97" s="123"/>
      <c r="I97" s="91">
        <v>14.07</v>
      </c>
      <c r="J97" s="123"/>
      <c r="K97" s="91">
        <v>14.33</v>
      </c>
      <c r="L97" s="123"/>
      <c r="M97" s="91"/>
      <c r="N97" s="123"/>
      <c r="O97" s="91"/>
      <c r="P97" s="123"/>
      <c r="Q97" s="91"/>
      <c r="R97" s="123"/>
      <c r="S97" s="91"/>
      <c r="T97" s="123"/>
      <c r="U97" s="91"/>
      <c r="V97" s="123"/>
      <c r="W97" s="91"/>
      <c r="X97" s="91"/>
      <c r="Y97" s="91"/>
      <c r="Z97" s="91"/>
      <c r="AA97" s="91"/>
      <c r="AB97" s="91"/>
      <c r="AC97"/>
      <c r="AD97"/>
      <c r="AE97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</row>
    <row r="98" spans="2:67" s="88" customFormat="1" ht="12.75">
      <c r="B98" s="8" t="s">
        <v>88</v>
      </c>
      <c r="C98" s="8"/>
      <c r="D98" s="8" t="s">
        <v>18</v>
      </c>
      <c r="F98" s="121"/>
      <c r="G98" s="91">
        <v>21</v>
      </c>
      <c r="H98" s="123"/>
      <c r="I98" s="91">
        <v>22.7</v>
      </c>
      <c r="J98" s="123"/>
      <c r="K98" s="91">
        <v>23</v>
      </c>
      <c r="L98" s="123"/>
      <c r="M98" s="91"/>
      <c r="N98" s="123"/>
      <c r="O98" s="91"/>
      <c r="P98" s="123"/>
      <c r="Q98" s="91"/>
      <c r="R98" s="123"/>
      <c r="S98" s="91"/>
      <c r="T98" s="123"/>
      <c r="U98" s="91"/>
      <c r="V98" s="123"/>
      <c r="W98" s="91"/>
      <c r="X98" s="91"/>
      <c r="Y98" s="91"/>
      <c r="Z98" s="91"/>
      <c r="AA98" s="91"/>
      <c r="AB98" s="91"/>
      <c r="AC98"/>
      <c r="AD98"/>
      <c r="AE98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</row>
    <row r="99" spans="2:67" s="88" customFormat="1" ht="12.75">
      <c r="B99" s="8" t="s">
        <v>81</v>
      </c>
      <c r="C99" s="8"/>
      <c r="D99" s="8" t="s">
        <v>19</v>
      </c>
      <c r="F99" s="121"/>
      <c r="G99" s="91">
        <v>199</v>
      </c>
      <c r="H99" s="123"/>
      <c r="I99" s="91">
        <v>198</v>
      </c>
      <c r="J99" s="123"/>
      <c r="K99" s="91">
        <v>202</v>
      </c>
      <c r="L99" s="123"/>
      <c r="M99" s="91"/>
      <c r="N99" s="123"/>
      <c r="O99" s="91"/>
      <c r="P99" s="123"/>
      <c r="Q99" s="91"/>
      <c r="R99" s="123"/>
      <c r="S99" s="91"/>
      <c r="T99" s="123"/>
      <c r="U99" s="91"/>
      <c r="V99" s="123"/>
      <c r="W99" s="91"/>
      <c r="X99" s="91"/>
      <c r="Y99" s="91"/>
      <c r="Z99" s="91"/>
      <c r="AA99" s="91"/>
      <c r="AB99" s="91"/>
      <c r="AC99"/>
      <c r="AD99"/>
      <c r="AE99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</row>
    <row r="100" spans="6:31" s="88" customFormat="1" ht="12.75">
      <c r="F100" s="120"/>
      <c r="G100" s="91"/>
      <c r="H100" s="123"/>
      <c r="I100" s="91"/>
      <c r="J100" s="123"/>
      <c r="K100" s="91"/>
      <c r="L100" s="120"/>
      <c r="M100" s="89"/>
      <c r="N100" s="120"/>
      <c r="O100" s="89"/>
      <c r="P100" s="120"/>
      <c r="Q100" s="89"/>
      <c r="R100" s="120"/>
      <c r="S100" s="89"/>
      <c r="T100" s="120"/>
      <c r="U100" s="89"/>
      <c r="V100" s="120"/>
      <c r="W100" s="89"/>
      <c r="X100" s="89"/>
      <c r="Y100" s="89"/>
      <c r="Z100" s="89"/>
      <c r="AA100" s="89"/>
      <c r="AC100"/>
      <c r="AD100"/>
      <c r="AE100"/>
    </row>
    <row r="101" spans="1:31" s="88" customFormat="1" ht="12.75">
      <c r="A101" s="88">
        <v>4</v>
      </c>
      <c r="B101" s="41" t="s">
        <v>300</v>
      </c>
      <c r="F101" s="120"/>
      <c r="G101" s="50" t="s">
        <v>316</v>
      </c>
      <c r="H101" s="50"/>
      <c r="I101" s="50" t="s">
        <v>317</v>
      </c>
      <c r="J101" s="50"/>
      <c r="K101" s="50" t="s">
        <v>318</v>
      </c>
      <c r="L101" s="50"/>
      <c r="M101" s="50" t="s">
        <v>319</v>
      </c>
      <c r="N101" s="50"/>
      <c r="O101" s="50" t="s">
        <v>320</v>
      </c>
      <c r="P101" s="50"/>
      <c r="Q101" s="50" t="s">
        <v>321</v>
      </c>
      <c r="R101" s="50"/>
      <c r="S101" s="50" t="s">
        <v>322</v>
      </c>
      <c r="T101" s="50"/>
      <c r="U101" s="50" t="s">
        <v>323</v>
      </c>
      <c r="V101" s="50"/>
      <c r="W101" s="50" t="s">
        <v>47</v>
      </c>
      <c r="X101" s="89"/>
      <c r="Y101" s="89"/>
      <c r="Z101" s="89"/>
      <c r="AA101" s="89"/>
      <c r="AC101"/>
      <c r="AD101"/>
      <c r="AE101"/>
    </row>
    <row r="102" spans="6:31" s="88" customFormat="1" ht="12.75">
      <c r="F102" s="120"/>
      <c r="G102" s="91"/>
      <c r="H102" s="123"/>
      <c r="I102" s="91"/>
      <c r="J102" s="123"/>
      <c r="K102" s="91"/>
      <c r="L102" s="120"/>
      <c r="M102" s="89"/>
      <c r="N102" s="120"/>
      <c r="O102" s="89"/>
      <c r="P102" s="120"/>
      <c r="Q102" s="89"/>
      <c r="R102" s="120"/>
      <c r="S102" s="89"/>
      <c r="T102" s="120"/>
      <c r="U102" s="89"/>
      <c r="V102" s="120"/>
      <c r="W102" s="89"/>
      <c r="X102" s="89"/>
      <c r="Y102" s="89"/>
      <c r="Z102" s="89"/>
      <c r="AA102" s="89"/>
      <c r="AC102"/>
      <c r="AD102"/>
      <c r="AE102"/>
    </row>
    <row r="103" spans="2:31" s="88" customFormat="1" ht="12.75">
      <c r="B103" s="88" t="s">
        <v>89</v>
      </c>
      <c r="C103" s="88" t="s">
        <v>331</v>
      </c>
      <c r="D103" s="88" t="s">
        <v>421</v>
      </c>
      <c r="F103" s="120"/>
      <c r="G103" s="91"/>
      <c r="H103" s="123"/>
      <c r="I103" s="91"/>
      <c r="J103" s="123"/>
      <c r="K103" s="91"/>
      <c r="L103" s="120"/>
      <c r="M103" s="89"/>
      <c r="N103" s="120"/>
      <c r="O103" s="89"/>
      <c r="P103" s="120"/>
      <c r="Q103" s="89"/>
      <c r="R103" s="120"/>
      <c r="S103" s="89"/>
      <c r="T103" s="120"/>
      <c r="U103" s="89"/>
      <c r="V103" s="120"/>
      <c r="W103" s="89"/>
      <c r="X103" s="89"/>
      <c r="Y103" s="89"/>
      <c r="Z103" s="89"/>
      <c r="AA103" s="89"/>
      <c r="AC103"/>
      <c r="AD103"/>
      <c r="AE103"/>
    </row>
    <row r="104" spans="2:67" s="88" customFormat="1" ht="12.75">
      <c r="B104" s="8" t="s">
        <v>82</v>
      </c>
      <c r="C104" s="8"/>
      <c r="D104" s="8" t="s">
        <v>17</v>
      </c>
      <c r="F104" s="121"/>
      <c r="G104" s="91">
        <v>50776</v>
      </c>
      <c r="H104" s="123"/>
      <c r="I104" s="91">
        <v>52350</v>
      </c>
      <c r="J104" s="123"/>
      <c r="K104" s="91">
        <v>52375</v>
      </c>
      <c r="L104" s="123"/>
      <c r="M104" s="91">
        <v>52719</v>
      </c>
      <c r="N104" s="123"/>
      <c r="O104" s="91">
        <v>50098</v>
      </c>
      <c r="P104" s="123"/>
      <c r="Q104" s="91"/>
      <c r="R104" s="123"/>
      <c r="S104" s="91"/>
      <c r="T104" s="123"/>
      <c r="U104" s="91"/>
      <c r="V104" s="123"/>
      <c r="W104" s="91"/>
      <c r="X104" s="91"/>
      <c r="Y104" s="91"/>
      <c r="Z104" s="91"/>
      <c r="AA104" s="91"/>
      <c r="AB104" s="91"/>
      <c r="AC104"/>
      <c r="AD104"/>
      <c r="AE104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</row>
    <row r="105" spans="2:67" s="88" customFormat="1" ht="12.75">
      <c r="B105" s="8" t="s">
        <v>87</v>
      </c>
      <c r="C105" s="8"/>
      <c r="D105" s="8" t="s">
        <v>18</v>
      </c>
      <c r="F105" s="121"/>
      <c r="G105" s="91">
        <v>12.4</v>
      </c>
      <c r="H105" s="123"/>
      <c r="I105" s="91">
        <v>13.1</v>
      </c>
      <c r="J105" s="123"/>
      <c r="K105" s="91">
        <v>12.4</v>
      </c>
      <c r="L105" s="123"/>
      <c r="M105" s="91">
        <v>12.7</v>
      </c>
      <c r="N105" s="123"/>
      <c r="O105" s="91">
        <v>12.5</v>
      </c>
      <c r="P105" s="123"/>
      <c r="Q105" s="91"/>
      <c r="R105" s="123"/>
      <c r="S105" s="91"/>
      <c r="T105" s="123"/>
      <c r="U105" s="91"/>
      <c r="V105" s="123"/>
      <c r="W105" s="91"/>
      <c r="X105" s="91"/>
      <c r="Y105" s="91"/>
      <c r="Z105" s="91"/>
      <c r="AA105" s="91"/>
      <c r="AB105" s="91"/>
      <c r="AC105"/>
      <c r="AD105"/>
      <c r="AE105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</row>
    <row r="106" spans="2:67" s="88" customFormat="1" ht="12.75">
      <c r="B106" s="8" t="s">
        <v>88</v>
      </c>
      <c r="C106" s="8"/>
      <c r="D106" s="8" t="s">
        <v>18</v>
      </c>
      <c r="F106" s="121"/>
      <c r="G106" s="91">
        <v>29.4</v>
      </c>
      <c r="H106" s="123"/>
      <c r="I106" s="91">
        <v>27.2</v>
      </c>
      <c r="J106" s="123"/>
      <c r="K106" s="91">
        <v>28.5</v>
      </c>
      <c r="L106" s="123"/>
      <c r="M106" s="91">
        <v>28.4</v>
      </c>
      <c r="N106" s="123"/>
      <c r="O106" s="91">
        <v>27.6</v>
      </c>
      <c r="P106" s="123"/>
      <c r="Q106" s="91"/>
      <c r="R106" s="123"/>
      <c r="S106" s="91"/>
      <c r="T106" s="123"/>
      <c r="U106" s="91"/>
      <c r="V106" s="123"/>
      <c r="W106" s="91"/>
      <c r="X106" s="91"/>
      <c r="Y106" s="91"/>
      <c r="Z106" s="91"/>
      <c r="AA106" s="91"/>
      <c r="AB106" s="91"/>
      <c r="AC106"/>
      <c r="AD106"/>
      <c r="AE106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</row>
    <row r="107" spans="2:67" s="88" customFormat="1" ht="12.75">
      <c r="B107" s="8" t="s">
        <v>81</v>
      </c>
      <c r="C107" s="8"/>
      <c r="D107" s="8" t="s">
        <v>19</v>
      </c>
      <c r="F107" s="121"/>
      <c r="G107" s="91">
        <v>0</v>
      </c>
      <c r="H107" s="123"/>
      <c r="I107" s="91">
        <v>0</v>
      </c>
      <c r="J107" s="123"/>
      <c r="K107" s="91">
        <v>0</v>
      </c>
      <c r="L107" s="123"/>
      <c r="M107" s="91">
        <v>0</v>
      </c>
      <c r="N107" s="123"/>
      <c r="O107" s="91">
        <v>0</v>
      </c>
      <c r="P107" s="123"/>
      <c r="Q107" s="91"/>
      <c r="R107" s="123"/>
      <c r="S107" s="91"/>
      <c r="T107" s="123"/>
      <c r="U107" s="91"/>
      <c r="V107" s="123"/>
      <c r="W107" s="91"/>
      <c r="X107" s="91"/>
      <c r="Y107" s="91"/>
      <c r="Z107" s="91"/>
      <c r="AA107" s="91"/>
      <c r="AB107" s="91"/>
      <c r="AC107"/>
      <c r="AD107"/>
      <c r="AE107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</row>
    <row r="108" spans="6:31" s="88" customFormat="1" ht="12.75">
      <c r="F108" s="120"/>
      <c r="G108" s="91"/>
      <c r="H108" s="123"/>
      <c r="I108" s="91"/>
      <c r="J108" s="123"/>
      <c r="K108" s="91"/>
      <c r="L108" s="120"/>
      <c r="M108" s="89"/>
      <c r="N108" s="120"/>
      <c r="O108" s="89"/>
      <c r="P108" s="120"/>
      <c r="Q108" s="89"/>
      <c r="R108" s="120"/>
      <c r="S108" s="89"/>
      <c r="T108" s="120"/>
      <c r="U108" s="89"/>
      <c r="V108" s="120"/>
      <c r="W108" s="89"/>
      <c r="X108" s="89"/>
      <c r="Y108" s="89"/>
      <c r="Z108" s="89"/>
      <c r="AA108" s="89"/>
      <c r="AC108"/>
      <c r="AD108"/>
      <c r="AE108"/>
    </row>
    <row r="109" spans="1:31" s="88" customFormat="1" ht="12.75">
      <c r="A109" s="88">
        <v>5</v>
      </c>
      <c r="B109" s="41" t="s">
        <v>303</v>
      </c>
      <c r="F109" s="120"/>
      <c r="G109" s="50" t="s">
        <v>316</v>
      </c>
      <c r="H109" s="50"/>
      <c r="I109" s="50" t="s">
        <v>317</v>
      </c>
      <c r="J109" s="50"/>
      <c r="K109" s="50" t="s">
        <v>318</v>
      </c>
      <c r="L109" s="50"/>
      <c r="M109" s="50" t="s">
        <v>319</v>
      </c>
      <c r="N109" s="50"/>
      <c r="O109" s="50" t="s">
        <v>320</v>
      </c>
      <c r="P109" s="50"/>
      <c r="Q109" s="50" t="s">
        <v>321</v>
      </c>
      <c r="R109" s="50"/>
      <c r="S109" s="50" t="s">
        <v>322</v>
      </c>
      <c r="T109" s="50"/>
      <c r="U109" s="50" t="s">
        <v>323</v>
      </c>
      <c r="V109" s="50"/>
      <c r="W109" s="50" t="s">
        <v>47</v>
      </c>
      <c r="X109" s="89"/>
      <c r="Y109" s="89"/>
      <c r="Z109" s="89"/>
      <c r="AA109" s="89"/>
      <c r="AC109"/>
      <c r="AD109"/>
      <c r="AE109"/>
    </row>
    <row r="110" spans="6:31" s="88" customFormat="1" ht="12.75">
      <c r="F110" s="120"/>
      <c r="G110" s="91"/>
      <c r="H110" s="123"/>
      <c r="I110" s="91"/>
      <c r="J110" s="123"/>
      <c r="K110" s="91"/>
      <c r="L110" s="120"/>
      <c r="M110" s="89"/>
      <c r="N110" s="120"/>
      <c r="O110" s="89"/>
      <c r="P110" s="120"/>
      <c r="Q110" s="89"/>
      <c r="R110" s="120"/>
      <c r="S110" s="89"/>
      <c r="T110" s="120"/>
      <c r="U110" s="89"/>
      <c r="V110" s="120"/>
      <c r="W110" s="89"/>
      <c r="X110" s="89"/>
      <c r="Y110" s="89"/>
      <c r="Z110" s="89"/>
      <c r="AA110" s="89"/>
      <c r="AC110"/>
      <c r="AD110"/>
      <c r="AE110"/>
    </row>
    <row r="111" spans="2:31" s="88" customFormat="1" ht="12.75">
      <c r="B111" s="88" t="s">
        <v>13</v>
      </c>
      <c r="C111" s="88" t="s">
        <v>421</v>
      </c>
      <c r="D111" s="88" t="s">
        <v>14</v>
      </c>
      <c r="E111" s="88" t="s">
        <v>15</v>
      </c>
      <c r="F111" s="120" t="s">
        <v>324</v>
      </c>
      <c r="G111" s="90">
        <v>0.002800027776</v>
      </c>
      <c r="H111" s="122" t="s">
        <v>324</v>
      </c>
      <c r="I111" s="90">
        <v>0.0008050079856</v>
      </c>
      <c r="J111" s="122" t="s">
        <v>324</v>
      </c>
      <c r="K111" s="90">
        <v>0.00078400777728</v>
      </c>
      <c r="L111" s="122" t="s">
        <v>324</v>
      </c>
      <c r="M111" s="90">
        <v>0.00089600888832</v>
      </c>
      <c r="N111" s="122" t="s">
        <v>324</v>
      </c>
      <c r="O111" s="90">
        <v>0.0013900137888</v>
      </c>
      <c r="P111" s="122" t="s">
        <v>324</v>
      </c>
      <c r="Q111" s="90">
        <v>0.001100010912</v>
      </c>
      <c r="R111" s="122" t="s">
        <v>324</v>
      </c>
      <c r="S111" s="90"/>
      <c r="T111" s="122" t="s">
        <v>324</v>
      </c>
      <c r="U111" s="90"/>
      <c r="V111" s="120" t="s">
        <v>324</v>
      </c>
      <c r="W111" s="90">
        <f>AVERAGE(G111,I111,K111,M111,O111,Q111)</f>
        <v>0.0012958461880000001</v>
      </c>
      <c r="X111" s="89"/>
      <c r="Y111" s="89"/>
      <c r="Z111" s="89"/>
      <c r="AA111" s="89"/>
      <c r="AB111" s="88">
        <v>0.001295846188</v>
      </c>
      <c r="AC111"/>
      <c r="AD111"/>
      <c r="AE111"/>
    </row>
    <row r="112" spans="2:31" s="88" customFormat="1" ht="12.75">
      <c r="B112" s="88" t="s">
        <v>83</v>
      </c>
      <c r="C112" s="88" t="s">
        <v>421</v>
      </c>
      <c r="D112" s="88" t="s">
        <v>57</v>
      </c>
      <c r="E112" s="88" t="s">
        <v>15</v>
      </c>
      <c r="F112" s="120" t="s">
        <v>324</v>
      </c>
      <c r="G112" s="91">
        <v>2.42</v>
      </c>
      <c r="H112" s="123" t="s">
        <v>324</v>
      </c>
      <c r="I112" s="91">
        <v>1.69</v>
      </c>
      <c r="J112" s="123" t="s">
        <v>324</v>
      </c>
      <c r="K112" s="91">
        <v>1.81</v>
      </c>
      <c r="L112" s="120" t="s">
        <v>324</v>
      </c>
      <c r="M112" s="89">
        <v>1.87</v>
      </c>
      <c r="N112" s="120" t="s">
        <v>324</v>
      </c>
      <c r="O112" s="89">
        <v>4.5</v>
      </c>
      <c r="P112" s="120" t="s">
        <v>324</v>
      </c>
      <c r="Q112" s="89">
        <v>2.41</v>
      </c>
      <c r="R112" s="120" t="s">
        <v>324</v>
      </c>
      <c r="S112" s="89"/>
      <c r="T112" s="120" t="s">
        <v>324</v>
      </c>
      <c r="U112" s="89"/>
      <c r="V112" s="120" t="s">
        <v>324</v>
      </c>
      <c r="W112" s="91">
        <f>AVERAGE(G112,I112,K112,M112,O112,Q112)</f>
        <v>2.4499999999999997</v>
      </c>
      <c r="X112" s="89"/>
      <c r="Y112" s="89"/>
      <c r="Z112" s="89"/>
      <c r="AA112" s="89"/>
      <c r="AB112" s="88">
        <v>2.45</v>
      </c>
      <c r="AC112"/>
      <c r="AD112"/>
      <c r="AE112"/>
    </row>
    <row r="113" spans="6:67" s="88" customFormat="1" ht="12.75">
      <c r="F113" s="121"/>
      <c r="G113" s="91"/>
      <c r="H113" s="123"/>
      <c r="I113" s="91"/>
      <c r="J113" s="123"/>
      <c r="K113" s="91"/>
      <c r="L113" s="123"/>
      <c r="M113" s="91"/>
      <c r="N113" s="123"/>
      <c r="O113" s="91"/>
      <c r="P113" s="123"/>
      <c r="Q113" s="91"/>
      <c r="R113" s="123"/>
      <c r="S113" s="91"/>
      <c r="T113" s="123"/>
      <c r="U113" s="91"/>
      <c r="V113" s="123"/>
      <c r="W113" s="91"/>
      <c r="X113" s="91"/>
      <c r="Y113" s="91"/>
      <c r="Z113" s="91"/>
      <c r="AA113" s="91"/>
      <c r="AB113" s="91"/>
      <c r="AC113"/>
      <c r="AD113"/>
      <c r="AE113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</row>
    <row r="114" spans="2:67" s="88" customFormat="1" ht="12.75">
      <c r="B114" s="88" t="s">
        <v>89</v>
      </c>
      <c r="C114" s="88" t="s">
        <v>198</v>
      </c>
      <c r="D114" s="88" t="s">
        <v>421</v>
      </c>
      <c r="F114" s="121"/>
      <c r="G114" s="91"/>
      <c r="H114" s="123"/>
      <c r="I114" s="91"/>
      <c r="J114" s="123"/>
      <c r="K114" s="91"/>
      <c r="L114" s="123"/>
      <c r="M114" s="91"/>
      <c r="N114" s="123"/>
      <c r="O114" s="91"/>
      <c r="P114" s="123"/>
      <c r="Q114" s="91"/>
      <c r="R114" s="123"/>
      <c r="S114" s="91"/>
      <c r="T114" s="123"/>
      <c r="U114" s="91"/>
      <c r="V114" s="123"/>
      <c r="W114" s="91"/>
      <c r="X114" s="91"/>
      <c r="Y114" s="91"/>
      <c r="Z114" s="91"/>
      <c r="AA114" s="91"/>
      <c r="AB114" s="91"/>
      <c r="AC114"/>
      <c r="AD114"/>
      <c r="AE114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</row>
    <row r="115" spans="2:67" s="88" customFormat="1" ht="12.75">
      <c r="B115" s="8" t="s">
        <v>82</v>
      </c>
      <c r="C115" s="8"/>
      <c r="D115" s="8" t="s">
        <v>17</v>
      </c>
      <c r="F115" s="121"/>
      <c r="G115" s="91">
        <v>55876</v>
      </c>
      <c r="H115" s="123"/>
      <c r="I115" s="91">
        <v>58536</v>
      </c>
      <c r="J115" s="123"/>
      <c r="K115" s="91">
        <v>58275</v>
      </c>
      <c r="L115" s="123"/>
      <c r="M115" s="91"/>
      <c r="N115" s="123"/>
      <c r="O115" s="91"/>
      <c r="P115" s="123"/>
      <c r="Q115" s="91">
        <v>58015</v>
      </c>
      <c r="R115" s="123"/>
      <c r="S115" s="91">
        <v>55224</v>
      </c>
      <c r="T115" s="123"/>
      <c r="U115" s="91">
        <v>58650</v>
      </c>
      <c r="V115" s="123"/>
      <c r="W115" s="91"/>
      <c r="X115" s="91"/>
      <c r="Y115" s="91"/>
      <c r="Z115" s="91"/>
      <c r="AA115" s="91"/>
      <c r="AB115" s="91"/>
      <c r="AC115"/>
      <c r="AD115"/>
      <c r="AE115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</row>
    <row r="116" spans="2:67" s="88" customFormat="1" ht="12.75">
      <c r="B116" s="8" t="s">
        <v>87</v>
      </c>
      <c r="C116" s="8"/>
      <c r="D116" s="8" t="s">
        <v>18</v>
      </c>
      <c r="F116" s="121"/>
      <c r="G116" s="91">
        <v>14.5</v>
      </c>
      <c r="H116" s="123"/>
      <c r="I116" s="91">
        <v>13.9</v>
      </c>
      <c r="J116" s="123"/>
      <c r="K116" s="91">
        <v>14.1</v>
      </c>
      <c r="L116" s="123"/>
      <c r="M116" s="91"/>
      <c r="N116" s="123"/>
      <c r="O116" s="91"/>
      <c r="P116" s="123"/>
      <c r="Q116" s="91">
        <v>13.6</v>
      </c>
      <c r="R116" s="123"/>
      <c r="S116" s="91">
        <v>13.6</v>
      </c>
      <c r="T116" s="123"/>
      <c r="U116" s="91">
        <v>13.9</v>
      </c>
      <c r="V116" s="123"/>
      <c r="W116" s="91"/>
      <c r="X116" s="91"/>
      <c r="Y116" s="91"/>
      <c r="Z116" s="91"/>
      <c r="AA116" s="91"/>
      <c r="AB116" s="91"/>
      <c r="AC116"/>
      <c r="AD116"/>
      <c r="AE116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</row>
    <row r="117" spans="2:67" s="88" customFormat="1" ht="12.75">
      <c r="B117" s="8" t="s">
        <v>88</v>
      </c>
      <c r="C117" s="8"/>
      <c r="D117" s="8" t="s">
        <v>18</v>
      </c>
      <c r="F117" s="121"/>
      <c r="G117" s="91">
        <v>24.9</v>
      </c>
      <c r="H117" s="123"/>
      <c r="I117" s="91">
        <v>24.8</v>
      </c>
      <c r="J117" s="123"/>
      <c r="K117" s="91">
        <v>24.2</v>
      </c>
      <c r="L117" s="123"/>
      <c r="M117" s="91"/>
      <c r="N117" s="123"/>
      <c r="O117" s="91"/>
      <c r="P117" s="123"/>
      <c r="Q117" s="91">
        <v>27.1</v>
      </c>
      <c r="R117" s="123"/>
      <c r="S117" s="91">
        <v>27.6</v>
      </c>
      <c r="T117" s="123"/>
      <c r="U117" s="91">
        <v>27.6</v>
      </c>
      <c r="V117" s="123"/>
      <c r="W117" s="91"/>
      <c r="X117" s="91"/>
      <c r="Y117" s="91"/>
      <c r="Z117" s="91"/>
      <c r="AA117" s="91"/>
      <c r="AB117" s="91"/>
      <c r="AC117"/>
      <c r="AD117"/>
      <c r="AE117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</row>
    <row r="118" spans="2:67" s="88" customFormat="1" ht="12.75">
      <c r="B118" s="8" t="s">
        <v>81</v>
      </c>
      <c r="C118" s="8"/>
      <c r="D118" s="8" t="s">
        <v>19</v>
      </c>
      <c r="F118" s="121"/>
      <c r="G118" s="91">
        <v>175</v>
      </c>
      <c r="H118" s="123"/>
      <c r="I118" s="91">
        <v>172</v>
      </c>
      <c r="J118" s="123"/>
      <c r="K118" s="91">
        <v>173</v>
      </c>
      <c r="L118" s="123"/>
      <c r="M118" s="91"/>
      <c r="N118" s="123"/>
      <c r="O118" s="91"/>
      <c r="P118" s="123"/>
      <c r="Q118" s="91">
        <v>197</v>
      </c>
      <c r="R118" s="123"/>
      <c r="S118" s="91">
        <v>197</v>
      </c>
      <c r="T118" s="123"/>
      <c r="U118" s="91">
        <v>197</v>
      </c>
      <c r="V118" s="123"/>
      <c r="W118" s="91"/>
      <c r="X118" s="91"/>
      <c r="Y118" s="91"/>
      <c r="Z118" s="91"/>
      <c r="AA118" s="91"/>
      <c r="AB118" s="91"/>
      <c r="AC118"/>
      <c r="AD118"/>
      <c r="AE118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</row>
    <row r="119" spans="6:31" s="88" customFormat="1" ht="12.75">
      <c r="F119" s="120"/>
      <c r="G119" s="91"/>
      <c r="H119" s="123"/>
      <c r="I119" s="91"/>
      <c r="J119" s="123"/>
      <c r="K119" s="91"/>
      <c r="L119" s="120"/>
      <c r="M119" s="89"/>
      <c r="N119" s="120"/>
      <c r="O119" s="89"/>
      <c r="P119" s="120"/>
      <c r="Q119" s="89"/>
      <c r="R119" s="120"/>
      <c r="S119" s="89"/>
      <c r="T119" s="120"/>
      <c r="U119" s="89"/>
      <c r="V119" s="120"/>
      <c r="W119" s="89"/>
      <c r="X119" s="89"/>
      <c r="Y119" s="89"/>
      <c r="Z119" s="89"/>
      <c r="AA119" s="89"/>
      <c r="AC119"/>
      <c r="AD119"/>
      <c r="AE119"/>
    </row>
    <row r="120" spans="2:31" s="88" customFormat="1" ht="12.75">
      <c r="B120" s="88" t="s">
        <v>89</v>
      </c>
      <c r="C120" s="88" t="s">
        <v>331</v>
      </c>
      <c r="D120" s="8" t="s">
        <v>422</v>
      </c>
      <c r="F120" s="120"/>
      <c r="G120" s="91"/>
      <c r="H120" s="123"/>
      <c r="I120" s="91"/>
      <c r="J120" s="123"/>
      <c r="K120" s="91"/>
      <c r="L120" s="120"/>
      <c r="M120" s="89"/>
      <c r="N120" s="120"/>
      <c r="O120" s="89"/>
      <c r="P120" s="120"/>
      <c r="Q120" s="89"/>
      <c r="R120" s="120"/>
      <c r="S120" s="89"/>
      <c r="T120" s="120"/>
      <c r="U120" s="89"/>
      <c r="V120" s="120"/>
      <c r="W120" s="89"/>
      <c r="X120" s="89"/>
      <c r="Y120" s="89"/>
      <c r="Z120" s="89"/>
      <c r="AA120" s="89"/>
      <c r="AC120"/>
      <c r="AD120"/>
      <c r="AE120"/>
    </row>
    <row r="121" spans="2:67" s="88" customFormat="1" ht="12.75">
      <c r="B121" s="8" t="s">
        <v>82</v>
      </c>
      <c r="C121" s="8"/>
      <c r="D121" s="8" t="s">
        <v>17</v>
      </c>
      <c r="F121" s="121"/>
      <c r="G121" s="91">
        <v>57753</v>
      </c>
      <c r="H121" s="123"/>
      <c r="I121" s="91">
        <v>60676</v>
      </c>
      <c r="J121" s="123"/>
      <c r="K121" s="91">
        <v>58789</v>
      </c>
      <c r="L121" s="123"/>
      <c r="M121" s="91">
        <v>60069</v>
      </c>
      <c r="N121" s="123"/>
      <c r="O121" s="91">
        <v>58120</v>
      </c>
      <c r="P121" s="123"/>
      <c r="Q121" s="91"/>
      <c r="R121" s="123"/>
      <c r="S121" s="91"/>
      <c r="T121" s="123"/>
      <c r="U121" s="91"/>
      <c r="V121" s="123"/>
      <c r="W121" s="91"/>
      <c r="X121" s="91"/>
      <c r="Y121" s="91"/>
      <c r="Z121" s="91"/>
      <c r="AA121" s="91"/>
      <c r="AB121" s="91"/>
      <c r="AC121"/>
      <c r="AD121"/>
      <c r="AE12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</row>
    <row r="122" spans="2:67" s="88" customFormat="1" ht="12.75">
      <c r="B122" s="8" t="s">
        <v>87</v>
      </c>
      <c r="C122" s="8"/>
      <c r="D122" s="8" t="s">
        <v>18</v>
      </c>
      <c r="F122" s="121"/>
      <c r="G122" s="91">
        <v>14.2</v>
      </c>
      <c r="H122" s="123"/>
      <c r="I122" s="91">
        <v>14.1</v>
      </c>
      <c r="J122" s="123"/>
      <c r="K122" s="91">
        <v>14.2</v>
      </c>
      <c r="L122" s="123"/>
      <c r="M122" s="91">
        <v>14.2</v>
      </c>
      <c r="N122" s="123"/>
      <c r="O122" s="91">
        <v>13.6</v>
      </c>
      <c r="P122" s="123"/>
      <c r="Q122" s="91"/>
      <c r="R122" s="123"/>
      <c r="S122" s="91"/>
      <c r="T122" s="123"/>
      <c r="U122" s="91"/>
      <c r="V122" s="123"/>
      <c r="W122" s="91"/>
      <c r="X122" s="91"/>
      <c r="Y122" s="91"/>
      <c r="Z122" s="91"/>
      <c r="AA122" s="91"/>
      <c r="AB122" s="91"/>
      <c r="AC122"/>
      <c r="AD122"/>
      <c r="AE122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</row>
    <row r="123" spans="2:67" s="88" customFormat="1" ht="12.75">
      <c r="B123" s="8" t="s">
        <v>88</v>
      </c>
      <c r="C123" s="8"/>
      <c r="D123" s="8" t="s">
        <v>18</v>
      </c>
      <c r="F123" s="121"/>
      <c r="G123" s="91">
        <v>25.5</v>
      </c>
      <c r="H123" s="123"/>
      <c r="I123" s="91">
        <v>24.9</v>
      </c>
      <c r="J123" s="123"/>
      <c r="K123" s="91">
        <v>25.8</v>
      </c>
      <c r="L123" s="123"/>
      <c r="M123" s="91">
        <v>26.6</v>
      </c>
      <c r="N123" s="123"/>
      <c r="O123" s="91">
        <v>25.8</v>
      </c>
      <c r="P123" s="123"/>
      <c r="Q123" s="91"/>
      <c r="R123" s="123"/>
      <c r="S123" s="91"/>
      <c r="T123" s="123"/>
      <c r="U123" s="91"/>
      <c r="V123" s="123"/>
      <c r="W123" s="91"/>
      <c r="X123" s="91"/>
      <c r="Y123" s="91"/>
      <c r="Z123" s="91"/>
      <c r="AA123" s="91"/>
      <c r="AB123" s="91"/>
      <c r="AC123"/>
      <c r="AD123"/>
      <c r="AE123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</row>
    <row r="124" spans="2:67" s="88" customFormat="1" ht="12.75">
      <c r="B124" s="8" t="s">
        <v>81</v>
      </c>
      <c r="C124" s="8"/>
      <c r="D124" s="8" t="s">
        <v>19</v>
      </c>
      <c r="F124" s="121"/>
      <c r="G124" s="91">
        <v>179</v>
      </c>
      <c r="H124" s="123"/>
      <c r="I124" s="91">
        <v>178</v>
      </c>
      <c r="J124" s="123"/>
      <c r="K124" s="91">
        <v>181</v>
      </c>
      <c r="L124" s="123"/>
      <c r="M124" s="91">
        <v>195</v>
      </c>
      <c r="N124" s="123"/>
      <c r="O124" s="91">
        <v>192</v>
      </c>
      <c r="P124" s="123"/>
      <c r="Q124" s="91"/>
      <c r="R124" s="123"/>
      <c r="S124" s="91"/>
      <c r="T124" s="123"/>
      <c r="U124" s="91"/>
      <c r="V124" s="123"/>
      <c r="W124" s="91"/>
      <c r="X124" s="91"/>
      <c r="Y124" s="91"/>
      <c r="Z124" s="91"/>
      <c r="AA124" s="91"/>
      <c r="AB124" s="91"/>
      <c r="AC124"/>
      <c r="AD124"/>
      <c r="AE124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</row>
    <row r="125" spans="6:67" s="88" customFormat="1" ht="12.75">
      <c r="F125" s="121"/>
      <c r="G125" s="91"/>
      <c r="H125" s="123"/>
      <c r="I125" s="91"/>
      <c r="J125" s="123"/>
      <c r="K125" s="91"/>
      <c r="L125" s="123"/>
      <c r="M125" s="91"/>
      <c r="N125" s="123"/>
      <c r="O125" s="91"/>
      <c r="P125" s="123"/>
      <c r="Q125" s="91"/>
      <c r="R125" s="123"/>
      <c r="S125" s="91"/>
      <c r="T125" s="123"/>
      <c r="U125" s="91"/>
      <c r="V125" s="123"/>
      <c r="W125" s="91"/>
      <c r="X125" s="91"/>
      <c r="Y125" s="91"/>
      <c r="Z125" s="91"/>
      <c r="AA125" s="91"/>
      <c r="AB125" s="91"/>
      <c r="AC125"/>
      <c r="AD125"/>
      <c r="AE125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</row>
    <row r="126" spans="1:67" s="88" customFormat="1" ht="12.75">
      <c r="A126" s="88">
        <v>6</v>
      </c>
      <c r="B126" s="41" t="s">
        <v>306</v>
      </c>
      <c r="F126" s="121"/>
      <c r="G126" s="50" t="s">
        <v>316</v>
      </c>
      <c r="H126" s="50"/>
      <c r="I126" s="50" t="s">
        <v>317</v>
      </c>
      <c r="J126" s="50"/>
      <c r="K126" s="50" t="s">
        <v>318</v>
      </c>
      <c r="L126" s="50"/>
      <c r="M126" s="50" t="s">
        <v>319</v>
      </c>
      <c r="N126" s="50"/>
      <c r="O126" s="50" t="s">
        <v>320</v>
      </c>
      <c r="P126" s="50"/>
      <c r="Q126" s="50" t="s">
        <v>321</v>
      </c>
      <c r="R126" s="50"/>
      <c r="S126" s="50" t="s">
        <v>322</v>
      </c>
      <c r="T126" s="50"/>
      <c r="U126" s="50" t="s">
        <v>323</v>
      </c>
      <c r="V126" s="50"/>
      <c r="W126" s="50" t="s">
        <v>47</v>
      </c>
      <c r="X126" s="91"/>
      <c r="Y126" s="91"/>
      <c r="Z126" s="91"/>
      <c r="AA126" s="91"/>
      <c r="AB126" s="91"/>
      <c r="AC126"/>
      <c r="AD126"/>
      <c r="AE126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</row>
    <row r="127" spans="6:67" s="88" customFormat="1" ht="12.75">
      <c r="F127" s="121"/>
      <c r="G127" s="91"/>
      <c r="H127" s="123"/>
      <c r="I127" s="91"/>
      <c r="J127" s="123"/>
      <c r="K127" s="91"/>
      <c r="L127" s="123"/>
      <c r="M127" s="91"/>
      <c r="N127" s="123"/>
      <c r="O127" s="91"/>
      <c r="P127" s="123"/>
      <c r="Q127" s="91"/>
      <c r="R127" s="123"/>
      <c r="S127" s="91"/>
      <c r="T127" s="123"/>
      <c r="U127" s="91"/>
      <c r="V127" s="123"/>
      <c r="W127" s="91"/>
      <c r="X127" s="91"/>
      <c r="Y127" s="91"/>
      <c r="Z127" s="91"/>
      <c r="AA127" s="91"/>
      <c r="AB127" s="91"/>
      <c r="AC127"/>
      <c r="AD127"/>
      <c r="AE127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</row>
    <row r="128" spans="2:31" s="88" customFormat="1" ht="12.75">
      <c r="B128" s="88" t="s">
        <v>13</v>
      </c>
      <c r="C128" s="88" t="s">
        <v>421</v>
      </c>
      <c r="D128" s="88" t="s">
        <v>14</v>
      </c>
      <c r="E128" s="88" t="s">
        <v>15</v>
      </c>
      <c r="F128" s="120" t="s">
        <v>324</v>
      </c>
      <c r="G128" s="90">
        <v>0.001600015872</v>
      </c>
      <c r="H128" s="122" t="s">
        <v>324</v>
      </c>
      <c r="I128" s="90">
        <v>0.001800017856</v>
      </c>
      <c r="J128" s="122" t="s">
        <v>324</v>
      </c>
      <c r="K128" s="90">
        <v>0.00150001488</v>
      </c>
      <c r="L128" s="122" t="s">
        <v>324</v>
      </c>
      <c r="M128" s="90">
        <v>0.00150001488</v>
      </c>
      <c r="N128" s="122" t="s">
        <v>324</v>
      </c>
      <c r="O128" s="90"/>
      <c r="P128" s="122" t="s">
        <v>324</v>
      </c>
      <c r="Q128" s="90"/>
      <c r="R128" s="122" t="s">
        <v>324</v>
      </c>
      <c r="S128" s="90"/>
      <c r="T128" s="122" t="s">
        <v>324</v>
      </c>
      <c r="U128" s="90"/>
      <c r="V128" s="120" t="s">
        <v>324</v>
      </c>
      <c r="W128" s="90">
        <f aca="true" t="shared" si="3" ref="W128:W133">AVERAGE(G128,I128,K128,M128)</f>
        <v>0.001600015872</v>
      </c>
      <c r="X128" s="89"/>
      <c r="Y128" s="89"/>
      <c r="Z128" s="89"/>
      <c r="AA128" s="89"/>
      <c r="AB128" s="88">
        <v>0.001600015872</v>
      </c>
      <c r="AC128"/>
      <c r="AD128"/>
      <c r="AE128"/>
    </row>
    <row r="129" spans="2:31" s="88" customFormat="1" ht="12.75">
      <c r="B129" s="88" t="s">
        <v>108</v>
      </c>
      <c r="C129" s="88" t="s">
        <v>421</v>
      </c>
      <c r="D129" s="88" t="s">
        <v>16</v>
      </c>
      <c r="E129" s="88" t="s">
        <v>15</v>
      </c>
      <c r="F129" s="120" t="s">
        <v>324</v>
      </c>
      <c r="G129" s="91">
        <v>42.517099863201</v>
      </c>
      <c r="H129" s="123" t="s">
        <v>324</v>
      </c>
      <c r="I129" s="91">
        <v>20.6</v>
      </c>
      <c r="J129" s="123" t="s">
        <v>324</v>
      </c>
      <c r="K129" s="91">
        <v>35.76502732240437</v>
      </c>
      <c r="L129" s="120" t="s">
        <v>324</v>
      </c>
      <c r="M129" s="91">
        <v>45.700365408039</v>
      </c>
      <c r="N129" s="120" t="s">
        <v>324</v>
      </c>
      <c r="O129" s="89"/>
      <c r="P129" s="120" t="s">
        <v>324</v>
      </c>
      <c r="Q129" s="89"/>
      <c r="R129" s="120" t="s">
        <v>324</v>
      </c>
      <c r="S129" s="89"/>
      <c r="T129" s="120" t="s">
        <v>324</v>
      </c>
      <c r="U129" s="89"/>
      <c r="V129" s="120" t="s">
        <v>324</v>
      </c>
      <c r="W129" s="91">
        <f t="shared" si="3"/>
        <v>36.14562314841109</v>
      </c>
      <c r="X129" s="89"/>
      <c r="Y129" s="89"/>
      <c r="Z129" s="89"/>
      <c r="AA129" s="89"/>
      <c r="AB129" s="88">
        <v>36.14562314841109</v>
      </c>
      <c r="AC129"/>
      <c r="AD129"/>
      <c r="AE129"/>
    </row>
    <row r="130" spans="2:31" s="88" customFormat="1" ht="12.75">
      <c r="B130" s="88" t="s">
        <v>425</v>
      </c>
      <c r="C130" s="88" t="s">
        <v>421</v>
      </c>
      <c r="D130" s="88" t="s">
        <v>16</v>
      </c>
      <c r="E130" s="88" t="s">
        <v>15</v>
      </c>
      <c r="F130" s="120" t="s">
        <v>324</v>
      </c>
      <c r="G130" s="91"/>
      <c r="H130" s="123" t="s">
        <v>324</v>
      </c>
      <c r="I130" s="91"/>
      <c r="J130" s="123" t="s">
        <v>324</v>
      </c>
      <c r="K130" s="91"/>
      <c r="L130" s="120" t="s">
        <v>324</v>
      </c>
      <c r="M130" s="91">
        <v>0.1705237515225335</v>
      </c>
      <c r="N130" s="120" t="s">
        <v>324</v>
      </c>
      <c r="O130" s="89"/>
      <c r="P130" s="120" t="s">
        <v>324</v>
      </c>
      <c r="Q130" s="89"/>
      <c r="R130" s="120" t="s">
        <v>324</v>
      </c>
      <c r="S130" s="89"/>
      <c r="T130" s="120" t="s">
        <v>324</v>
      </c>
      <c r="U130" s="89"/>
      <c r="V130" s="120" t="s">
        <v>324</v>
      </c>
      <c r="W130" s="91">
        <f t="shared" si="3"/>
        <v>0.1705237515225335</v>
      </c>
      <c r="X130" s="89"/>
      <c r="Y130" s="89"/>
      <c r="Z130" s="89"/>
      <c r="AA130" s="89"/>
      <c r="AB130" s="88">
        <v>0.1705237515225335</v>
      </c>
      <c r="AC130"/>
      <c r="AD130"/>
      <c r="AE130"/>
    </row>
    <row r="131" spans="2:31" s="88" customFormat="1" ht="12.75">
      <c r="B131" s="88" t="s">
        <v>50</v>
      </c>
      <c r="C131" s="88" t="s">
        <v>421</v>
      </c>
      <c r="D131" s="88" t="s">
        <v>16</v>
      </c>
      <c r="E131" s="88" t="s">
        <v>15</v>
      </c>
      <c r="F131" s="120" t="s">
        <v>102</v>
      </c>
      <c r="G131" s="91">
        <v>0.18074379132486498</v>
      </c>
      <c r="H131" s="123" t="s">
        <v>324</v>
      </c>
      <c r="I131" s="91">
        <v>1.7695441645318</v>
      </c>
      <c r="J131" s="123" t="s">
        <v>324</v>
      </c>
      <c r="K131" s="91">
        <v>1.4943153717506679</v>
      </c>
      <c r="L131" s="120" t="s">
        <v>324</v>
      </c>
      <c r="M131" s="91">
        <v>1.5541040938434</v>
      </c>
      <c r="N131" s="120" t="s">
        <v>324</v>
      </c>
      <c r="O131" s="89"/>
      <c r="P131" s="120" t="s">
        <v>324</v>
      </c>
      <c r="Q131" s="89"/>
      <c r="R131" s="120" t="s">
        <v>324</v>
      </c>
      <c r="S131" s="89"/>
      <c r="T131" s="120" t="s">
        <v>324</v>
      </c>
      <c r="U131" s="89"/>
      <c r="V131" s="120" t="s">
        <v>324</v>
      </c>
      <c r="W131" s="91">
        <f t="shared" si="3"/>
        <v>1.2496768553626834</v>
      </c>
      <c r="X131" s="89"/>
      <c r="Y131" s="89"/>
      <c r="Z131" s="89"/>
      <c r="AA131" s="89"/>
      <c r="AB131" s="88">
        <v>1.2496768553626834</v>
      </c>
      <c r="AC131"/>
      <c r="AD131"/>
      <c r="AE131"/>
    </row>
    <row r="132" spans="2:31" s="88" customFormat="1" ht="12.75">
      <c r="B132" s="88" t="s">
        <v>51</v>
      </c>
      <c r="C132" s="88" t="s">
        <v>421</v>
      </c>
      <c r="D132" s="88" t="s">
        <v>16</v>
      </c>
      <c r="E132" s="88" t="s">
        <v>15</v>
      </c>
      <c r="F132" s="120" t="s">
        <v>324</v>
      </c>
      <c r="G132" s="91">
        <v>0.30973724465403524</v>
      </c>
      <c r="H132" s="123" t="s">
        <v>324</v>
      </c>
      <c r="I132" s="91">
        <v>0.3137001351937353</v>
      </c>
      <c r="J132" s="123" t="s">
        <v>324</v>
      </c>
      <c r="K132" s="91">
        <v>0.2765642638661815</v>
      </c>
      <c r="L132" s="120" t="s">
        <v>324</v>
      </c>
      <c r="M132" s="91">
        <v>0.28534703919298715</v>
      </c>
      <c r="N132" s="120" t="s">
        <v>324</v>
      </c>
      <c r="O132" s="89"/>
      <c r="P132" s="120" t="s">
        <v>324</v>
      </c>
      <c r="Q132" s="89"/>
      <c r="R132" s="120" t="s">
        <v>324</v>
      </c>
      <c r="S132" s="89"/>
      <c r="T132" s="120" t="s">
        <v>324</v>
      </c>
      <c r="U132" s="89"/>
      <c r="V132" s="120" t="s">
        <v>324</v>
      </c>
      <c r="W132" s="91">
        <f t="shared" si="3"/>
        <v>0.2963371707267348</v>
      </c>
      <c r="X132" s="89"/>
      <c r="Y132" s="89"/>
      <c r="Z132" s="89"/>
      <c r="AA132" s="89"/>
      <c r="AB132" s="88">
        <v>0.2963371707267348</v>
      </c>
      <c r="AC132"/>
      <c r="AD132"/>
      <c r="AE132"/>
    </row>
    <row r="133" spans="2:31" s="88" customFormat="1" ht="12.75">
      <c r="B133" s="88" t="s">
        <v>420</v>
      </c>
      <c r="C133" s="88" t="s">
        <v>421</v>
      </c>
      <c r="D133" s="88" t="s">
        <v>16</v>
      </c>
      <c r="E133" s="88" t="s">
        <v>15</v>
      </c>
      <c r="F133" s="120">
        <f>G131/G133*100</f>
        <v>22.586811086333224</v>
      </c>
      <c r="G133" s="91">
        <f>G131+2*G132</f>
        <v>0.8002182806329354</v>
      </c>
      <c r="H133" s="123"/>
      <c r="I133" s="91">
        <f>I131+2*I132</f>
        <v>2.396944434919271</v>
      </c>
      <c r="J133" s="123"/>
      <c r="K133" s="91">
        <f>K131+2*K132</f>
        <v>2.0474438994830306</v>
      </c>
      <c r="L133" s="120"/>
      <c r="M133" s="91">
        <f>M131+2*M132</f>
        <v>2.1247981722293745</v>
      </c>
      <c r="N133" s="120"/>
      <c r="O133" s="89"/>
      <c r="P133" s="120"/>
      <c r="Q133" s="89"/>
      <c r="R133" s="120"/>
      <c r="S133" s="89"/>
      <c r="T133" s="120"/>
      <c r="U133" s="89"/>
      <c r="V133" s="120"/>
      <c r="W133" s="91">
        <f t="shared" si="3"/>
        <v>1.842351196816153</v>
      </c>
      <c r="X133" s="89"/>
      <c r="Y133" s="89"/>
      <c r="Z133" s="89"/>
      <c r="AA133" s="89"/>
      <c r="AC133"/>
      <c r="AD133"/>
      <c r="AE133"/>
    </row>
    <row r="134" spans="6:31" s="88" customFormat="1" ht="12.75">
      <c r="F134" s="120"/>
      <c r="G134" s="91"/>
      <c r="H134" s="123"/>
      <c r="I134" s="91"/>
      <c r="J134" s="123"/>
      <c r="K134" s="91"/>
      <c r="L134" s="120"/>
      <c r="M134" s="89"/>
      <c r="N134" s="120"/>
      <c r="O134" s="89"/>
      <c r="P134" s="120"/>
      <c r="Q134" s="89"/>
      <c r="R134" s="120"/>
      <c r="S134" s="89"/>
      <c r="T134" s="120"/>
      <c r="U134" s="89"/>
      <c r="V134" s="120"/>
      <c r="W134" s="89"/>
      <c r="X134" s="89"/>
      <c r="Y134" s="89"/>
      <c r="Z134" s="89"/>
      <c r="AA134" s="89"/>
      <c r="AC134"/>
      <c r="AD134"/>
      <c r="AE134"/>
    </row>
    <row r="135" spans="2:57" s="92" customFormat="1" ht="12.75">
      <c r="B135" s="92" t="s">
        <v>327</v>
      </c>
      <c r="C135" s="92" t="s">
        <v>422</v>
      </c>
      <c r="D135" s="92" t="s">
        <v>18</v>
      </c>
      <c r="F135" s="99"/>
      <c r="G135" s="93">
        <v>99.9972</v>
      </c>
      <c r="H135" s="96"/>
      <c r="I135" s="93">
        <v>99.9943</v>
      </c>
      <c r="J135" s="96"/>
      <c r="K135" s="93">
        <v>99.9964</v>
      </c>
      <c r="L135" s="96"/>
      <c r="M135" s="93">
        <v>99.9972</v>
      </c>
      <c r="N135" s="96"/>
      <c r="O135" s="93"/>
      <c r="P135" s="96"/>
      <c r="Q135" s="93"/>
      <c r="R135" s="96"/>
      <c r="S135" s="93"/>
      <c r="T135" s="96"/>
      <c r="U135" s="93"/>
      <c r="V135" s="96"/>
      <c r="W135" s="93"/>
      <c r="X135" s="93"/>
      <c r="Y135" s="93"/>
      <c r="Z135" s="93"/>
      <c r="AA135" s="93"/>
      <c r="AB135" s="93"/>
      <c r="AC135"/>
      <c r="AD135"/>
      <c r="AE135"/>
      <c r="AF135" s="93"/>
      <c r="AG135" s="93"/>
      <c r="AH135" s="93"/>
      <c r="AI135" s="93"/>
      <c r="AJ135" s="93"/>
      <c r="AK135" s="93"/>
      <c r="AL135" s="93"/>
      <c r="AM135" s="93"/>
      <c r="AN135" s="93"/>
      <c r="AO135" s="93"/>
      <c r="AP135" s="93"/>
      <c r="AQ135" s="93"/>
      <c r="AR135" s="93"/>
      <c r="AS135" s="93"/>
      <c r="AT135" s="93"/>
      <c r="AU135" s="93"/>
      <c r="AV135" s="93"/>
      <c r="AW135" s="93"/>
      <c r="AX135" s="93"/>
      <c r="AY135" s="93"/>
      <c r="AZ135" s="93"/>
      <c r="BA135" s="93"/>
      <c r="BB135" s="93"/>
      <c r="BC135" s="93"/>
      <c r="BD135" s="93"/>
      <c r="BE135" s="93"/>
    </row>
    <row r="136" spans="2:57" s="92" customFormat="1" ht="12.75">
      <c r="B136" s="92" t="s">
        <v>328</v>
      </c>
      <c r="C136" s="92" t="s">
        <v>422</v>
      </c>
      <c r="D136" s="92" t="s">
        <v>18</v>
      </c>
      <c r="F136" s="99"/>
      <c r="G136" s="93">
        <v>99.9998</v>
      </c>
      <c r="H136" s="96"/>
      <c r="I136" s="93">
        <v>99.9997</v>
      </c>
      <c r="J136" s="96"/>
      <c r="K136" s="93">
        <v>99.9997</v>
      </c>
      <c r="L136" s="96"/>
      <c r="M136" s="93">
        <v>99.9994</v>
      </c>
      <c r="N136" s="96"/>
      <c r="O136" s="93"/>
      <c r="P136" s="96"/>
      <c r="Q136" s="93"/>
      <c r="R136" s="96"/>
      <c r="S136" s="93"/>
      <c r="T136" s="96"/>
      <c r="U136" s="93"/>
      <c r="V136" s="96"/>
      <c r="W136" s="93"/>
      <c r="X136" s="93"/>
      <c r="Y136" s="93"/>
      <c r="Z136" s="93"/>
      <c r="AA136" s="93"/>
      <c r="AB136" s="93"/>
      <c r="AC136"/>
      <c r="AD136"/>
      <c r="AE136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  <c r="AV136" s="93"/>
      <c r="AW136" s="93"/>
      <c r="AX136" s="93"/>
      <c r="AY136" s="93"/>
      <c r="AZ136" s="93"/>
      <c r="BA136" s="93"/>
      <c r="BB136" s="93"/>
      <c r="BC136" s="93"/>
      <c r="BD136" s="93"/>
      <c r="BE136" s="93"/>
    </row>
    <row r="137" spans="2:57" s="92" customFormat="1" ht="12.75">
      <c r="B137" s="92" t="s">
        <v>329</v>
      </c>
      <c r="C137" s="92" t="s">
        <v>422</v>
      </c>
      <c r="D137" s="92" t="s">
        <v>18</v>
      </c>
      <c r="F137" s="99"/>
      <c r="G137" s="93">
        <v>99.9997</v>
      </c>
      <c r="H137" s="96"/>
      <c r="I137" s="93">
        <v>99.9996</v>
      </c>
      <c r="J137" s="96"/>
      <c r="K137" s="93">
        <v>99.9995</v>
      </c>
      <c r="L137" s="96"/>
      <c r="M137" s="93">
        <v>99.9995</v>
      </c>
      <c r="N137" s="96"/>
      <c r="O137" s="93"/>
      <c r="P137" s="96"/>
      <c r="Q137" s="93"/>
      <c r="R137" s="96"/>
      <c r="S137" s="93"/>
      <c r="T137" s="96"/>
      <c r="U137" s="93"/>
      <c r="V137" s="96"/>
      <c r="W137" s="93"/>
      <c r="X137" s="93"/>
      <c r="Y137" s="93"/>
      <c r="Z137" s="93"/>
      <c r="AA137" s="93"/>
      <c r="AB137" s="93"/>
      <c r="AC137"/>
      <c r="AD137"/>
      <c r="AE137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3"/>
      <c r="BC137" s="93"/>
      <c r="BD137" s="93"/>
      <c r="BE137" s="93"/>
    </row>
    <row r="138" spans="6:67" s="88" customFormat="1" ht="13.5" customHeight="1">
      <c r="F138" s="121"/>
      <c r="G138" s="91"/>
      <c r="H138" s="123"/>
      <c r="I138" s="91"/>
      <c r="J138" s="123"/>
      <c r="K138" s="91"/>
      <c r="L138" s="123"/>
      <c r="M138" s="91"/>
      <c r="N138" s="123"/>
      <c r="O138" s="91"/>
      <c r="P138" s="123"/>
      <c r="Q138" s="91"/>
      <c r="R138" s="123"/>
      <c r="S138" s="91"/>
      <c r="T138" s="123"/>
      <c r="U138" s="91"/>
      <c r="V138" s="123"/>
      <c r="W138" s="91"/>
      <c r="X138" s="91"/>
      <c r="Y138" s="91"/>
      <c r="Z138" s="91"/>
      <c r="AA138" s="91"/>
      <c r="AB138" s="91"/>
      <c r="AC138"/>
      <c r="AD138"/>
      <c r="AE138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</row>
    <row r="139" spans="2:67" s="88" customFormat="1" ht="13.5" customHeight="1">
      <c r="B139" s="88" t="s">
        <v>89</v>
      </c>
      <c r="C139" s="88" t="s">
        <v>332</v>
      </c>
      <c r="D139" s="88" t="s">
        <v>421</v>
      </c>
      <c r="F139" s="121"/>
      <c r="G139" s="91"/>
      <c r="H139" s="123"/>
      <c r="I139" s="91"/>
      <c r="J139" s="123"/>
      <c r="K139" s="91"/>
      <c r="L139" s="123"/>
      <c r="M139" s="91"/>
      <c r="N139" s="123"/>
      <c r="O139" s="91"/>
      <c r="P139" s="123"/>
      <c r="Q139" s="91"/>
      <c r="R139" s="123"/>
      <c r="S139" s="91"/>
      <c r="T139" s="123"/>
      <c r="U139" s="91"/>
      <c r="V139" s="123"/>
      <c r="W139" s="91"/>
      <c r="X139" s="91"/>
      <c r="Y139" s="91"/>
      <c r="Z139" s="91"/>
      <c r="AA139" s="91"/>
      <c r="AB139" s="91"/>
      <c r="AC139"/>
      <c r="AD139"/>
      <c r="AE139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</row>
    <row r="140" spans="2:67" s="88" customFormat="1" ht="13.5" customHeight="1">
      <c r="B140" s="8" t="s">
        <v>82</v>
      </c>
      <c r="C140" s="8"/>
      <c r="D140" s="8" t="s">
        <v>17</v>
      </c>
      <c r="F140" s="121"/>
      <c r="G140" s="91">
        <v>56121</v>
      </c>
      <c r="H140" s="123"/>
      <c r="I140" s="91">
        <v>57866</v>
      </c>
      <c r="J140" s="123"/>
      <c r="K140" s="91">
        <v>56490</v>
      </c>
      <c r="L140" s="123"/>
      <c r="M140" s="91">
        <v>54240</v>
      </c>
      <c r="N140" s="123"/>
      <c r="O140" s="91"/>
      <c r="P140" s="123"/>
      <c r="Q140" s="91"/>
      <c r="R140" s="123"/>
      <c r="S140" s="91"/>
      <c r="T140" s="123"/>
      <c r="U140" s="91"/>
      <c r="V140" s="123"/>
      <c r="W140" s="91"/>
      <c r="X140" s="91"/>
      <c r="Y140" s="91"/>
      <c r="Z140" s="91"/>
      <c r="AA140" s="91"/>
      <c r="AB140" s="91"/>
      <c r="AC140"/>
      <c r="AD140"/>
      <c r="AE140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</row>
    <row r="141" spans="2:67" s="88" customFormat="1" ht="13.5" customHeight="1">
      <c r="B141" s="8" t="s">
        <v>87</v>
      </c>
      <c r="C141" s="8"/>
      <c r="D141" s="8" t="s">
        <v>18</v>
      </c>
      <c r="F141" s="121"/>
      <c r="G141" s="91">
        <v>13.69</v>
      </c>
      <c r="H141" s="123"/>
      <c r="I141" s="91">
        <v>14</v>
      </c>
      <c r="J141" s="123"/>
      <c r="K141" s="91">
        <v>13.68</v>
      </c>
      <c r="L141" s="123"/>
      <c r="M141" s="91">
        <v>12.79</v>
      </c>
      <c r="N141" s="123"/>
      <c r="O141" s="91"/>
      <c r="P141" s="123"/>
      <c r="Q141" s="91"/>
      <c r="R141" s="123"/>
      <c r="S141" s="91"/>
      <c r="T141" s="123"/>
      <c r="U141" s="91"/>
      <c r="V141" s="123"/>
      <c r="W141" s="91"/>
      <c r="X141" s="91"/>
      <c r="Y141" s="91"/>
      <c r="Z141" s="91"/>
      <c r="AA141" s="91"/>
      <c r="AB141" s="91"/>
      <c r="AC141"/>
      <c r="AD141"/>
      <c r="AE14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</row>
    <row r="142" spans="2:67" s="88" customFormat="1" ht="13.5" customHeight="1">
      <c r="B142" s="8" t="s">
        <v>88</v>
      </c>
      <c r="C142" s="8"/>
      <c r="D142" s="8" t="s">
        <v>18</v>
      </c>
      <c r="F142" s="121"/>
      <c r="G142" s="91">
        <v>30</v>
      </c>
      <c r="H142" s="123"/>
      <c r="I142" s="91">
        <v>28</v>
      </c>
      <c r="J142" s="123"/>
      <c r="K142" s="91">
        <v>28.6</v>
      </c>
      <c r="L142" s="123"/>
      <c r="M142" s="91">
        <v>28.8</v>
      </c>
      <c r="N142" s="123"/>
      <c r="O142" s="91"/>
      <c r="P142" s="123"/>
      <c r="Q142" s="91"/>
      <c r="R142" s="123"/>
      <c r="S142" s="91"/>
      <c r="T142" s="123"/>
      <c r="U142" s="91"/>
      <c r="V142" s="123"/>
      <c r="W142" s="91"/>
      <c r="X142" s="91"/>
      <c r="Y142" s="91"/>
      <c r="Z142" s="91"/>
      <c r="AA142" s="91"/>
      <c r="AB142" s="91"/>
      <c r="AC142"/>
      <c r="AD142"/>
      <c r="AE142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</row>
    <row r="143" spans="2:67" s="88" customFormat="1" ht="13.5" customHeight="1">
      <c r="B143" s="8" t="s">
        <v>81</v>
      </c>
      <c r="C143" s="8"/>
      <c r="D143" s="8" t="s">
        <v>19</v>
      </c>
      <c r="F143" s="121"/>
      <c r="G143" s="91">
        <v>197.2</v>
      </c>
      <c r="H143" s="123"/>
      <c r="I143" s="91">
        <v>198</v>
      </c>
      <c r="J143" s="123"/>
      <c r="K143" s="91">
        <v>198</v>
      </c>
      <c r="L143" s="123"/>
      <c r="M143" s="91">
        <v>196</v>
      </c>
      <c r="N143" s="123"/>
      <c r="O143" s="91"/>
      <c r="P143" s="123"/>
      <c r="Q143" s="91"/>
      <c r="R143" s="123"/>
      <c r="S143" s="91"/>
      <c r="T143" s="123"/>
      <c r="U143" s="91"/>
      <c r="V143" s="123"/>
      <c r="W143" s="91"/>
      <c r="X143" s="91"/>
      <c r="Y143" s="91"/>
      <c r="Z143" s="91"/>
      <c r="AA143" s="91"/>
      <c r="AB143" s="91"/>
      <c r="AC143"/>
      <c r="AD143"/>
      <c r="AE143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</row>
    <row r="144" spans="6:57" s="92" customFormat="1" ht="12.75">
      <c r="F144" s="99"/>
      <c r="G144" s="93"/>
      <c r="H144" s="96"/>
      <c r="I144" s="93"/>
      <c r="J144" s="96"/>
      <c r="K144" s="93"/>
      <c r="L144" s="96"/>
      <c r="M144" s="93"/>
      <c r="N144" s="96"/>
      <c r="O144" s="93"/>
      <c r="P144" s="96"/>
      <c r="Q144" s="93"/>
      <c r="R144" s="96"/>
      <c r="S144" s="93"/>
      <c r="T144" s="96"/>
      <c r="U144" s="93"/>
      <c r="V144" s="96"/>
      <c r="W144" s="93"/>
      <c r="X144" s="93"/>
      <c r="Y144" s="93"/>
      <c r="Z144" s="93"/>
      <c r="AA144" s="93"/>
      <c r="AB144" s="93"/>
      <c r="AC144"/>
      <c r="AD144"/>
      <c r="AE144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</row>
    <row r="145" spans="2:31" s="88" customFormat="1" ht="12.75">
      <c r="B145" s="88" t="s">
        <v>89</v>
      </c>
      <c r="C145" s="88" t="s">
        <v>331</v>
      </c>
      <c r="D145" s="92" t="s">
        <v>422</v>
      </c>
      <c r="F145" s="120"/>
      <c r="G145" s="91"/>
      <c r="H145" s="123"/>
      <c r="I145" s="91"/>
      <c r="J145" s="123"/>
      <c r="K145" s="91"/>
      <c r="L145" s="120"/>
      <c r="M145" s="89"/>
      <c r="N145" s="120"/>
      <c r="O145" s="89"/>
      <c r="P145" s="120"/>
      <c r="Q145" s="89"/>
      <c r="R145" s="120"/>
      <c r="S145" s="89"/>
      <c r="T145" s="120"/>
      <c r="U145" s="89"/>
      <c r="V145" s="120"/>
      <c r="W145" s="89"/>
      <c r="X145" s="89"/>
      <c r="Y145" s="89"/>
      <c r="Z145" s="89"/>
      <c r="AA145" s="89"/>
      <c r="AC145"/>
      <c r="AD145"/>
      <c r="AE145"/>
    </row>
    <row r="146" spans="2:67" s="88" customFormat="1" ht="13.5" customHeight="1">
      <c r="B146" s="8" t="s">
        <v>82</v>
      </c>
      <c r="C146" s="8"/>
      <c r="D146" s="8" t="s">
        <v>17</v>
      </c>
      <c r="F146" s="121"/>
      <c r="G146" s="91">
        <v>56420</v>
      </c>
      <c r="H146" s="123"/>
      <c r="I146" s="91">
        <v>58490</v>
      </c>
      <c r="J146" s="123"/>
      <c r="K146" s="91">
        <v>58416</v>
      </c>
      <c r="L146" s="123"/>
      <c r="M146" s="91">
        <v>55333</v>
      </c>
      <c r="N146" s="123"/>
      <c r="O146" s="91"/>
      <c r="P146" s="123"/>
      <c r="Q146" s="91"/>
      <c r="R146" s="123"/>
      <c r="S146" s="91"/>
      <c r="T146" s="123"/>
      <c r="U146" s="91"/>
      <c r="V146" s="123"/>
      <c r="W146" s="91"/>
      <c r="X146" s="91"/>
      <c r="Y146" s="91"/>
      <c r="Z146" s="91"/>
      <c r="AA146" s="91"/>
      <c r="AB146" s="91"/>
      <c r="AC146"/>
      <c r="AD146"/>
      <c r="AE146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</row>
    <row r="147" spans="2:67" s="88" customFormat="1" ht="13.5" customHeight="1">
      <c r="B147" s="8" t="s">
        <v>87</v>
      </c>
      <c r="C147" s="8"/>
      <c r="D147" s="8" t="s">
        <v>18</v>
      </c>
      <c r="F147" s="121"/>
      <c r="G147" s="91">
        <v>13.69</v>
      </c>
      <c r="H147" s="123"/>
      <c r="I147" s="91">
        <v>14</v>
      </c>
      <c r="J147" s="123"/>
      <c r="K147" s="91">
        <v>13.68</v>
      </c>
      <c r="L147" s="123"/>
      <c r="M147" s="91">
        <v>12.79</v>
      </c>
      <c r="N147" s="123"/>
      <c r="O147" s="91"/>
      <c r="P147" s="123"/>
      <c r="Q147" s="91"/>
      <c r="R147" s="123"/>
      <c r="S147" s="91"/>
      <c r="T147" s="123"/>
      <c r="U147" s="91"/>
      <c r="V147" s="123"/>
      <c r="W147" s="91"/>
      <c r="X147" s="91"/>
      <c r="Y147" s="91"/>
      <c r="Z147" s="91"/>
      <c r="AA147" s="91"/>
      <c r="AB147" s="91"/>
      <c r="AC147"/>
      <c r="AD147"/>
      <c r="AE147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</row>
    <row r="148" spans="2:67" s="88" customFormat="1" ht="13.5" customHeight="1">
      <c r="B148" s="8" t="s">
        <v>88</v>
      </c>
      <c r="C148" s="8"/>
      <c r="D148" s="8" t="s">
        <v>18</v>
      </c>
      <c r="F148" s="121"/>
      <c r="G148" s="91">
        <v>29.4</v>
      </c>
      <c r="H148" s="123"/>
      <c r="I148" s="91">
        <v>27.5</v>
      </c>
      <c r="J148" s="123"/>
      <c r="K148" s="91">
        <v>27.7</v>
      </c>
      <c r="L148" s="123"/>
      <c r="M148" s="91">
        <v>27.9</v>
      </c>
      <c r="N148" s="123"/>
      <c r="O148" s="91"/>
      <c r="P148" s="123"/>
      <c r="Q148" s="91"/>
      <c r="R148" s="123"/>
      <c r="S148" s="91"/>
      <c r="T148" s="123"/>
      <c r="U148" s="91"/>
      <c r="V148" s="123"/>
      <c r="W148" s="91"/>
      <c r="X148" s="91"/>
      <c r="Y148" s="91"/>
      <c r="Z148" s="91"/>
      <c r="AA148" s="91"/>
      <c r="AB148" s="91"/>
      <c r="AC148"/>
      <c r="AD148"/>
      <c r="AE148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</row>
    <row r="149" spans="2:67" s="88" customFormat="1" ht="13.5" customHeight="1">
      <c r="B149" s="8" t="s">
        <v>81</v>
      </c>
      <c r="C149" s="8"/>
      <c r="D149" s="8" t="s">
        <v>19</v>
      </c>
      <c r="F149" s="121"/>
      <c r="G149" s="91">
        <v>0</v>
      </c>
      <c r="H149" s="123"/>
      <c r="I149" s="91">
        <v>0</v>
      </c>
      <c r="J149" s="123"/>
      <c r="K149" s="91">
        <v>0</v>
      </c>
      <c r="L149" s="123"/>
      <c r="M149" s="91">
        <v>0</v>
      </c>
      <c r="N149" s="123"/>
      <c r="O149" s="91"/>
      <c r="P149" s="123"/>
      <c r="Q149" s="91"/>
      <c r="R149" s="123"/>
      <c r="S149" s="91"/>
      <c r="T149" s="123"/>
      <c r="U149" s="91"/>
      <c r="V149" s="123"/>
      <c r="W149" s="91"/>
      <c r="X149" s="91"/>
      <c r="Y149" s="91"/>
      <c r="Z149" s="91"/>
      <c r="AA149" s="91"/>
      <c r="AB149" s="91"/>
      <c r="AC149"/>
      <c r="AD149"/>
      <c r="AE149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</row>
    <row r="150" spans="6:31" s="88" customFormat="1" ht="12.75">
      <c r="F150" s="120"/>
      <c r="G150" s="91"/>
      <c r="H150" s="123"/>
      <c r="I150" s="91"/>
      <c r="J150" s="123"/>
      <c r="K150" s="91"/>
      <c r="L150" s="120"/>
      <c r="M150" s="89"/>
      <c r="N150" s="120"/>
      <c r="O150" s="89"/>
      <c r="P150" s="120"/>
      <c r="Q150" s="89"/>
      <c r="R150" s="120"/>
      <c r="S150" s="89"/>
      <c r="T150" s="120"/>
      <c r="U150" s="89"/>
      <c r="V150" s="120"/>
      <c r="W150" s="89"/>
      <c r="X150" s="89"/>
      <c r="Y150" s="89"/>
      <c r="Z150" s="89"/>
      <c r="AA150" s="89"/>
      <c r="AC150"/>
      <c r="AD150"/>
      <c r="AE150"/>
    </row>
    <row r="151" spans="1:31" s="88" customFormat="1" ht="12.75">
      <c r="A151" s="88">
        <v>7</v>
      </c>
      <c r="B151" s="41" t="s">
        <v>309</v>
      </c>
      <c r="F151" s="120"/>
      <c r="G151" s="50" t="s">
        <v>316</v>
      </c>
      <c r="H151" s="50"/>
      <c r="I151" s="50" t="s">
        <v>317</v>
      </c>
      <c r="J151" s="50"/>
      <c r="K151" s="50" t="s">
        <v>318</v>
      </c>
      <c r="L151" s="50"/>
      <c r="M151" s="50" t="s">
        <v>319</v>
      </c>
      <c r="N151" s="50"/>
      <c r="O151" s="50" t="s">
        <v>320</v>
      </c>
      <c r="P151" s="50"/>
      <c r="Q151" s="50" t="s">
        <v>321</v>
      </c>
      <c r="R151" s="50"/>
      <c r="S151" s="50" t="s">
        <v>322</v>
      </c>
      <c r="T151" s="50"/>
      <c r="U151" s="50" t="s">
        <v>323</v>
      </c>
      <c r="V151" s="50"/>
      <c r="W151" s="50" t="s">
        <v>47</v>
      </c>
      <c r="X151" s="89"/>
      <c r="Y151" s="89"/>
      <c r="Z151" s="89"/>
      <c r="AA151" s="89"/>
      <c r="AC151"/>
      <c r="AD151"/>
      <c r="AE151"/>
    </row>
    <row r="152" spans="6:31" s="88" customFormat="1" ht="12.75">
      <c r="F152" s="120"/>
      <c r="G152" s="91"/>
      <c r="H152" s="123"/>
      <c r="I152" s="91"/>
      <c r="J152" s="123"/>
      <c r="K152" s="91"/>
      <c r="L152" s="120"/>
      <c r="M152" s="89"/>
      <c r="N152" s="120"/>
      <c r="O152" s="89"/>
      <c r="P152" s="120"/>
      <c r="Q152" s="89"/>
      <c r="R152" s="120"/>
      <c r="S152" s="89"/>
      <c r="T152" s="120"/>
      <c r="U152" s="89"/>
      <c r="V152" s="120"/>
      <c r="W152" s="89"/>
      <c r="X152" s="89"/>
      <c r="Y152" s="89"/>
      <c r="Z152" s="89"/>
      <c r="AA152" s="89"/>
      <c r="AC152"/>
      <c r="AD152"/>
      <c r="AE152"/>
    </row>
    <row r="153" spans="2:31" s="88" customFormat="1" ht="12.75">
      <c r="B153" s="88" t="s">
        <v>13</v>
      </c>
      <c r="C153" s="88" t="s">
        <v>421</v>
      </c>
      <c r="D153" s="88" t="s">
        <v>14</v>
      </c>
      <c r="E153" s="88" t="s">
        <v>15</v>
      </c>
      <c r="F153" s="120" t="s">
        <v>324</v>
      </c>
      <c r="G153" s="90">
        <v>0.00300002976</v>
      </c>
      <c r="H153" s="122" t="s">
        <v>324</v>
      </c>
      <c r="I153" s="90">
        <v>0.00600005952</v>
      </c>
      <c r="J153" s="122" t="s">
        <v>324</v>
      </c>
      <c r="K153" s="90">
        <v>0.003400033728</v>
      </c>
      <c r="L153" s="122" t="s">
        <v>324</v>
      </c>
      <c r="M153" s="90">
        <v>0.002600025792</v>
      </c>
      <c r="N153" s="122" t="s">
        <v>324</v>
      </c>
      <c r="O153" s="90">
        <v>0.002400023808</v>
      </c>
      <c r="P153" s="122" t="s">
        <v>324</v>
      </c>
      <c r="Q153" s="90"/>
      <c r="R153" s="122" t="s">
        <v>324</v>
      </c>
      <c r="S153" s="90"/>
      <c r="T153" s="122" t="s">
        <v>324</v>
      </c>
      <c r="U153" s="90"/>
      <c r="V153" s="120" t="s">
        <v>324</v>
      </c>
      <c r="W153" s="90">
        <f>AVERAGE(G153,I153,K153,M153,O153)</f>
        <v>0.0034800345216</v>
      </c>
      <c r="X153" s="89"/>
      <c r="Y153" s="89"/>
      <c r="Z153" s="89"/>
      <c r="AA153" s="89"/>
      <c r="AB153" s="88">
        <v>0.0034800345216000005</v>
      </c>
      <c r="AC153"/>
      <c r="AD153"/>
      <c r="AE153"/>
    </row>
    <row r="154" spans="6:67" s="88" customFormat="1" ht="12.75">
      <c r="F154" s="121"/>
      <c r="G154" s="91"/>
      <c r="H154" s="123"/>
      <c r="I154" s="91"/>
      <c r="J154" s="123"/>
      <c r="K154" s="91"/>
      <c r="L154" s="123"/>
      <c r="M154" s="91"/>
      <c r="N154" s="123"/>
      <c r="O154" s="91"/>
      <c r="P154" s="123"/>
      <c r="Q154" s="91"/>
      <c r="R154" s="123"/>
      <c r="S154" s="91"/>
      <c r="T154" s="123"/>
      <c r="U154" s="91"/>
      <c r="V154" s="123"/>
      <c r="W154" s="91"/>
      <c r="X154" s="91"/>
      <c r="Y154" s="91"/>
      <c r="Z154" s="91"/>
      <c r="AA154" s="91"/>
      <c r="AB154" s="91"/>
      <c r="AC154"/>
      <c r="AD154"/>
      <c r="AE154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</row>
    <row r="155" spans="2:67" s="88" customFormat="1" ht="12.75">
      <c r="B155" s="88" t="s">
        <v>89</v>
      </c>
      <c r="C155" s="88" t="s">
        <v>333</v>
      </c>
      <c r="D155" s="8" t="s">
        <v>421</v>
      </c>
      <c r="F155" s="121"/>
      <c r="G155" s="91"/>
      <c r="H155" s="123"/>
      <c r="I155" s="91"/>
      <c r="J155" s="123"/>
      <c r="K155" s="91"/>
      <c r="L155" s="123"/>
      <c r="M155" s="91"/>
      <c r="N155" s="123"/>
      <c r="O155" s="91"/>
      <c r="P155" s="123"/>
      <c r="Q155" s="91"/>
      <c r="R155" s="123"/>
      <c r="S155" s="91"/>
      <c r="T155" s="123"/>
      <c r="U155" s="91"/>
      <c r="V155" s="123"/>
      <c r="W155" s="91"/>
      <c r="X155" s="91"/>
      <c r="Y155" s="91"/>
      <c r="Z155" s="91"/>
      <c r="AA155" s="91"/>
      <c r="AB155" s="91"/>
      <c r="AC155"/>
      <c r="AD155"/>
      <c r="AE155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</row>
    <row r="156" spans="2:67" s="88" customFormat="1" ht="12.75">
      <c r="B156" s="8" t="s">
        <v>82</v>
      </c>
      <c r="C156" s="8"/>
      <c r="D156" s="8" t="s">
        <v>17</v>
      </c>
      <c r="F156" s="121"/>
      <c r="G156" s="91">
        <v>47800</v>
      </c>
      <c r="H156" s="123"/>
      <c r="I156" s="91">
        <v>50418</v>
      </c>
      <c r="J156" s="123"/>
      <c r="K156" s="91">
        <v>49532</v>
      </c>
      <c r="L156" s="123"/>
      <c r="M156" s="91">
        <v>51166</v>
      </c>
      <c r="N156" s="123"/>
      <c r="O156" s="91">
        <v>52608</v>
      </c>
      <c r="P156" s="123"/>
      <c r="Q156" s="91"/>
      <c r="R156" s="123"/>
      <c r="S156" s="91"/>
      <c r="T156" s="123"/>
      <c r="U156" s="91"/>
      <c r="V156" s="123"/>
      <c r="W156" s="91"/>
      <c r="X156" s="91"/>
      <c r="Y156" s="91"/>
      <c r="Z156" s="91"/>
      <c r="AA156" s="91"/>
      <c r="AB156" s="91"/>
      <c r="AC156"/>
      <c r="AD156"/>
      <c r="AE156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</row>
    <row r="157" spans="2:67" s="88" customFormat="1" ht="12.75">
      <c r="B157" s="8" t="s">
        <v>87</v>
      </c>
      <c r="C157" s="8"/>
      <c r="D157" s="8" t="s">
        <v>18</v>
      </c>
      <c r="F157" s="121"/>
      <c r="G157" s="91">
        <v>12.8</v>
      </c>
      <c r="H157" s="123"/>
      <c r="I157" s="91">
        <v>13.2</v>
      </c>
      <c r="J157" s="123"/>
      <c r="K157" s="91">
        <v>13.4</v>
      </c>
      <c r="L157" s="123"/>
      <c r="M157" s="91">
        <v>12.5</v>
      </c>
      <c r="N157" s="123"/>
      <c r="O157" s="91">
        <v>12.5</v>
      </c>
      <c r="P157" s="123"/>
      <c r="Q157" s="91"/>
      <c r="R157" s="123"/>
      <c r="S157" s="91"/>
      <c r="T157" s="123"/>
      <c r="U157" s="91"/>
      <c r="V157" s="123"/>
      <c r="W157" s="91"/>
      <c r="X157" s="91"/>
      <c r="Y157" s="91"/>
      <c r="Z157" s="91"/>
      <c r="AA157" s="91"/>
      <c r="AB157" s="91"/>
      <c r="AC157"/>
      <c r="AD157"/>
      <c r="AE157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</row>
    <row r="158" spans="2:67" s="88" customFormat="1" ht="12.75">
      <c r="B158" s="8" t="s">
        <v>88</v>
      </c>
      <c r="C158" s="8"/>
      <c r="D158" s="8" t="s">
        <v>18</v>
      </c>
      <c r="F158" s="121"/>
      <c r="G158" s="91">
        <v>27.3</v>
      </c>
      <c r="H158" s="123"/>
      <c r="I158" s="91">
        <v>26.7</v>
      </c>
      <c r="J158" s="123"/>
      <c r="K158" s="91">
        <v>26.4</v>
      </c>
      <c r="L158" s="123"/>
      <c r="M158" s="91">
        <v>28</v>
      </c>
      <c r="N158" s="123"/>
      <c r="O158" s="91">
        <v>26.1</v>
      </c>
      <c r="P158" s="123"/>
      <c r="Q158" s="91"/>
      <c r="R158" s="123"/>
      <c r="S158" s="91"/>
      <c r="T158" s="123"/>
      <c r="U158" s="91"/>
      <c r="V158" s="123"/>
      <c r="W158" s="91"/>
      <c r="X158" s="91"/>
      <c r="Y158" s="91"/>
      <c r="Z158" s="91"/>
      <c r="AA158" s="91"/>
      <c r="AB158" s="91"/>
      <c r="AC158"/>
      <c r="AD158"/>
      <c r="AE158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</row>
    <row r="159" spans="2:67" s="88" customFormat="1" ht="12.75">
      <c r="B159" s="8" t="s">
        <v>81</v>
      </c>
      <c r="C159" s="8"/>
      <c r="D159" s="8" t="s">
        <v>19</v>
      </c>
      <c r="F159" s="121"/>
      <c r="G159" s="91">
        <v>200.2</v>
      </c>
      <c r="H159" s="123"/>
      <c r="I159" s="91">
        <v>202.8</v>
      </c>
      <c r="J159" s="123"/>
      <c r="K159" s="91">
        <v>201.1</v>
      </c>
      <c r="L159" s="123"/>
      <c r="M159" s="91">
        <v>200.3</v>
      </c>
      <c r="N159" s="123"/>
      <c r="O159" s="91">
        <v>197.8</v>
      </c>
      <c r="P159" s="123"/>
      <c r="Q159" s="91"/>
      <c r="R159" s="123"/>
      <c r="S159" s="91"/>
      <c r="T159" s="123"/>
      <c r="U159" s="91"/>
      <c r="V159" s="123"/>
      <c r="W159" s="91"/>
      <c r="X159" s="91"/>
      <c r="Y159" s="91"/>
      <c r="Z159" s="91"/>
      <c r="AA159" s="91"/>
      <c r="AB159" s="91"/>
      <c r="AC159"/>
      <c r="AD159"/>
      <c r="AE159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</row>
    <row r="160" spans="6:31" s="88" customFormat="1" ht="12.75">
      <c r="F160" s="120"/>
      <c r="G160" s="90"/>
      <c r="H160" s="122"/>
      <c r="I160" s="90"/>
      <c r="J160" s="122"/>
      <c r="K160" s="90"/>
      <c r="L160" s="122"/>
      <c r="M160" s="90"/>
      <c r="N160" s="122"/>
      <c r="O160" s="90"/>
      <c r="P160" s="122"/>
      <c r="Q160" s="90"/>
      <c r="R160" s="122"/>
      <c r="S160" s="90"/>
      <c r="T160" s="122"/>
      <c r="U160" s="90"/>
      <c r="V160" s="120"/>
      <c r="W160" s="89"/>
      <c r="X160" s="89"/>
      <c r="Y160" s="89"/>
      <c r="Z160" s="89"/>
      <c r="AA160" s="89"/>
      <c r="AC160"/>
      <c r="AD160"/>
      <c r="AE160"/>
    </row>
    <row r="161" spans="2:31" s="88" customFormat="1" ht="12.75">
      <c r="B161" s="88" t="s">
        <v>89</v>
      </c>
      <c r="C161" s="88" t="s">
        <v>331</v>
      </c>
      <c r="D161" s="88" t="s">
        <v>422</v>
      </c>
      <c r="F161" s="120"/>
      <c r="G161" s="90"/>
      <c r="H161" s="122"/>
      <c r="I161" s="90"/>
      <c r="J161" s="122"/>
      <c r="K161" s="90"/>
      <c r="L161" s="122"/>
      <c r="M161" s="90"/>
      <c r="N161" s="122"/>
      <c r="O161" s="90"/>
      <c r="P161" s="122"/>
      <c r="Q161" s="90"/>
      <c r="R161" s="122"/>
      <c r="S161" s="90"/>
      <c r="T161" s="122"/>
      <c r="U161" s="90"/>
      <c r="V161" s="120"/>
      <c r="W161" s="89"/>
      <c r="X161" s="89"/>
      <c r="Y161" s="89"/>
      <c r="Z161" s="89"/>
      <c r="AA161" s="89"/>
      <c r="AC161"/>
      <c r="AD161"/>
      <c r="AE161"/>
    </row>
    <row r="162" spans="2:67" s="88" customFormat="1" ht="12.75">
      <c r="B162" s="8" t="s">
        <v>82</v>
      </c>
      <c r="C162" s="8"/>
      <c r="D162" s="8" t="s">
        <v>17</v>
      </c>
      <c r="F162" s="121"/>
      <c r="G162" s="91">
        <v>47591</v>
      </c>
      <c r="H162" s="123"/>
      <c r="I162" s="91">
        <v>48922</v>
      </c>
      <c r="J162" s="123"/>
      <c r="K162" s="91">
        <v>48201</v>
      </c>
      <c r="L162" s="123"/>
      <c r="M162" s="91">
        <v>49053</v>
      </c>
      <c r="N162" s="123"/>
      <c r="O162" s="91">
        <v>48707</v>
      </c>
      <c r="P162" s="123"/>
      <c r="Q162" s="91"/>
      <c r="R162" s="123"/>
      <c r="S162" s="91"/>
      <c r="T162" s="123"/>
      <c r="U162" s="91"/>
      <c r="V162" s="123"/>
      <c r="W162" s="91"/>
      <c r="X162" s="91"/>
      <c r="Y162" s="91"/>
      <c r="Z162" s="91"/>
      <c r="AA162" s="91"/>
      <c r="AB162" s="91"/>
      <c r="AC162"/>
      <c r="AD162"/>
      <c r="AE162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</row>
    <row r="163" spans="2:67" s="88" customFormat="1" ht="12.75">
      <c r="B163" s="8" t="s">
        <v>87</v>
      </c>
      <c r="C163" s="8"/>
      <c r="D163" s="8" t="s">
        <v>18</v>
      </c>
      <c r="F163" s="121"/>
      <c r="G163" s="91">
        <v>12.8</v>
      </c>
      <c r="H163" s="123"/>
      <c r="I163" s="91">
        <v>13.2</v>
      </c>
      <c r="J163" s="123"/>
      <c r="K163" s="91">
        <v>13.4</v>
      </c>
      <c r="L163" s="123"/>
      <c r="M163" s="91">
        <v>12.5</v>
      </c>
      <c r="N163" s="123"/>
      <c r="O163" s="91">
        <v>13.2</v>
      </c>
      <c r="P163" s="123"/>
      <c r="Q163" s="91"/>
      <c r="R163" s="123"/>
      <c r="S163" s="91"/>
      <c r="T163" s="123"/>
      <c r="U163" s="91"/>
      <c r="V163" s="123"/>
      <c r="W163" s="91"/>
      <c r="X163" s="91"/>
      <c r="Y163" s="91"/>
      <c r="Z163" s="91"/>
      <c r="AA163" s="91"/>
      <c r="AB163" s="91"/>
      <c r="AC163"/>
      <c r="AD163"/>
      <c r="AE163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</row>
    <row r="164" spans="2:67" s="88" customFormat="1" ht="12.75">
      <c r="B164" s="8" t="s">
        <v>88</v>
      </c>
      <c r="C164" s="8"/>
      <c r="D164" s="8" t="s">
        <v>18</v>
      </c>
      <c r="F164" s="121"/>
      <c r="G164" s="91">
        <v>26.9</v>
      </c>
      <c r="H164" s="123"/>
      <c r="I164" s="91">
        <v>26.7</v>
      </c>
      <c r="J164" s="123"/>
      <c r="K164" s="91">
        <v>26.8</v>
      </c>
      <c r="L164" s="123"/>
      <c r="M164" s="91">
        <v>29.1</v>
      </c>
      <c r="N164" s="123"/>
      <c r="O164" s="91">
        <v>29.6</v>
      </c>
      <c r="P164" s="123"/>
      <c r="Q164" s="91"/>
      <c r="R164" s="123"/>
      <c r="S164" s="91"/>
      <c r="T164" s="123"/>
      <c r="U164" s="91"/>
      <c r="V164" s="123"/>
      <c r="W164" s="91"/>
      <c r="X164" s="91"/>
      <c r="Y164" s="91"/>
      <c r="Z164" s="91"/>
      <c r="AA164" s="91"/>
      <c r="AB164" s="91"/>
      <c r="AC164"/>
      <c r="AD164"/>
      <c r="AE164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</row>
    <row r="165" spans="2:67" s="88" customFormat="1" ht="12.75">
      <c r="B165" s="8" t="s">
        <v>81</v>
      </c>
      <c r="C165" s="8"/>
      <c r="D165" s="8" t="s">
        <v>19</v>
      </c>
      <c r="F165" s="121"/>
      <c r="G165" s="91">
        <v>197.7</v>
      </c>
      <c r="H165" s="123"/>
      <c r="I165" s="91">
        <v>199.6</v>
      </c>
      <c r="J165" s="123"/>
      <c r="K165" s="91">
        <v>198.3</v>
      </c>
      <c r="L165" s="123"/>
      <c r="M165" s="91">
        <v>197.5</v>
      </c>
      <c r="N165" s="123"/>
      <c r="O165" s="91">
        <v>196.3</v>
      </c>
      <c r="P165" s="123"/>
      <c r="Q165" s="91"/>
      <c r="R165" s="123"/>
      <c r="S165" s="91"/>
      <c r="T165" s="123"/>
      <c r="U165" s="91"/>
      <c r="V165" s="123"/>
      <c r="W165" s="91"/>
      <c r="X165" s="91"/>
      <c r="Y165" s="91"/>
      <c r="Z165" s="91"/>
      <c r="AA165" s="91"/>
      <c r="AB165" s="91"/>
      <c r="AC165"/>
      <c r="AD165"/>
      <c r="AE165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</row>
    <row r="166" spans="6:31" s="88" customFormat="1" ht="12.75">
      <c r="F166" s="120"/>
      <c r="G166" s="90"/>
      <c r="H166" s="122"/>
      <c r="I166" s="90"/>
      <c r="J166" s="122"/>
      <c r="K166" s="90"/>
      <c r="L166" s="122"/>
      <c r="M166" s="90"/>
      <c r="N166" s="122"/>
      <c r="O166" s="90"/>
      <c r="P166" s="122"/>
      <c r="Q166" s="90"/>
      <c r="R166" s="122"/>
      <c r="S166" s="90"/>
      <c r="T166" s="122"/>
      <c r="U166" s="90"/>
      <c r="V166" s="120"/>
      <c r="W166" s="89"/>
      <c r="X166" s="89"/>
      <c r="Y166" s="89"/>
      <c r="Z166" s="89"/>
      <c r="AA166" s="89"/>
      <c r="AC166"/>
      <c r="AD166"/>
      <c r="AE166"/>
    </row>
    <row r="167" spans="1:31" s="88" customFormat="1" ht="12.75">
      <c r="A167" s="88">
        <v>8</v>
      </c>
      <c r="B167" s="41" t="s">
        <v>312</v>
      </c>
      <c r="F167" s="120"/>
      <c r="G167" s="50" t="s">
        <v>316</v>
      </c>
      <c r="H167" s="50"/>
      <c r="I167" s="50" t="s">
        <v>317</v>
      </c>
      <c r="J167" s="50"/>
      <c r="K167" s="50" t="s">
        <v>318</v>
      </c>
      <c r="L167" s="50"/>
      <c r="M167" s="50" t="s">
        <v>319</v>
      </c>
      <c r="N167" s="50"/>
      <c r="O167" s="50" t="s">
        <v>320</v>
      </c>
      <c r="P167" s="50"/>
      <c r="Q167" s="50" t="s">
        <v>321</v>
      </c>
      <c r="R167" s="50"/>
      <c r="S167" s="50" t="s">
        <v>322</v>
      </c>
      <c r="T167" s="50"/>
      <c r="U167" s="50" t="s">
        <v>323</v>
      </c>
      <c r="V167" s="50"/>
      <c r="W167" s="50" t="s">
        <v>47</v>
      </c>
      <c r="X167" s="89"/>
      <c r="Y167" s="89"/>
      <c r="Z167" s="89"/>
      <c r="AA167" s="89"/>
      <c r="AC167"/>
      <c r="AD167"/>
      <c r="AE167"/>
    </row>
    <row r="168" spans="6:31" s="88" customFormat="1" ht="12.75">
      <c r="F168" s="120"/>
      <c r="G168" s="90"/>
      <c r="H168" s="122"/>
      <c r="I168" s="90"/>
      <c r="J168" s="122"/>
      <c r="K168" s="90"/>
      <c r="L168" s="122"/>
      <c r="M168" s="90"/>
      <c r="N168" s="122"/>
      <c r="O168" s="90"/>
      <c r="P168" s="122"/>
      <c r="Q168" s="90"/>
      <c r="R168" s="122"/>
      <c r="S168" s="90"/>
      <c r="T168" s="122"/>
      <c r="U168" s="90"/>
      <c r="V168" s="120"/>
      <c r="W168" s="89"/>
      <c r="X168" s="89"/>
      <c r="Y168" s="89"/>
      <c r="Z168" s="89"/>
      <c r="AA168" s="89"/>
      <c r="AC168"/>
      <c r="AD168"/>
      <c r="AE168"/>
    </row>
    <row r="169" spans="2:31" s="88" customFormat="1" ht="12.75">
      <c r="B169" s="88" t="s">
        <v>13</v>
      </c>
      <c r="C169" s="88" t="s">
        <v>421</v>
      </c>
      <c r="D169" s="88" t="s">
        <v>14</v>
      </c>
      <c r="E169" s="88" t="s">
        <v>15</v>
      </c>
      <c r="F169" s="120" t="s">
        <v>324</v>
      </c>
      <c r="G169" s="90">
        <v>0.003200031744</v>
      </c>
      <c r="H169" s="122" t="s">
        <v>324</v>
      </c>
      <c r="I169" s="90">
        <v>0.001900018848</v>
      </c>
      <c r="J169" s="122" t="s">
        <v>324</v>
      </c>
      <c r="K169" s="90">
        <v>0.001700016864</v>
      </c>
      <c r="L169" s="122" t="s">
        <v>324</v>
      </c>
      <c r="M169" s="90"/>
      <c r="N169" s="122" t="s">
        <v>324</v>
      </c>
      <c r="O169" s="90"/>
      <c r="P169" s="122" t="s">
        <v>324</v>
      </c>
      <c r="Q169" s="90"/>
      <c r="R169" s="122" t="s">
        <v>324</v>
      </c>
      <c r="S169" s="90"/>
      <c r="T169" s="122" t="s">
        <v>324</v>
      </c>
      <c r="U169" s="90"/>
      <c r="V169" s="120" t="s">
        <v>324</v>
      </c>
      <c r="W169" s="90">
        <f>AVERAGE(G169,I169,K169)</f>
        <v>0.002266689152</v>
      </c>
      <c r="X169" s="89"/>
      <c r="Y169" s="89"/>
      <c r="Z169" s="89"/>
      <c r="AA169" s="89"/>
      <c r="AB169" s="88">
        <v>0.002266689152</v>
      </c>
      <c r="AC169"/>
      <c r="AD169"/>
      <c r="AE169"/>
    </row>
    <row r="170" spans="2:31" s="88" customFormat="1" ht="12.75">
      <c r="B170" s="88" t="s">
        <v>83</v>
      </c>
      <c r="C170" s="88" t="s">
        <v>421</v>
      </c>
      <c r="D170" s="88" t="s">
        <v>57</v>
      </c>
      <c r="E170" s="88" t="s">
        <v>15</v>
      </c>
      <c r="F170" s="120" t="s">
        <v>324</v>
      </c>
      <c r="G170" s="91">
        <v>75.40730083356988</v>
      </c>
      <c r="H170" s="123" t="s">
        <v>324</v>
      </c>
      <c r="I170" s="91">
        <v>12.28471376391632</v>
      </c>
      <c r="J170" s="123" t="s">
        <v>324</v>
      </c>
      <c r="K170" s="91">
        <v>16.23832863284138</v>
      </c>
      <c r="L170" s="120" t="s">
        <v>324</v>
      </c>
      <c r="M170" s="89"/>
      <c r="N170" s="120" t="s">
        <v>324</v>
      </c>
      <c r="O170" s="89"/>
      <c r="P170" s="120" t="s">
        <v>324</v>
      </c>
      <c r="Q170" s="89"/>
      <c r="R170" s="120" t="s">
        <v>324</v>
      </c>
      <c r="S170" s="89"/>
      <c r="T170" s="120" t="s">
        <v>324</v>
      </c>
      <c r="U170" s="89"/>
      <c r="V170" s="120" t="s">
        <v>324</v>
      </c>
      <c r="W170" s="91">
        <f>AVERAGE(G170,I170,K170)</f>
        <v>34.64344774344252</v>
      </c>
      <c r="X170" s="89"/>
      <c r="Y170" s="89"/>
      <c r="Z170" s="89"/>
      <c r="AA170" s="89"/>
      <c r="AB170" s="88">
        <v>34.64344774344253</v>
      </c>
      <c r="AC170"/>
      <c r="AD170"/>
      <c r="AE170"/>
    </row>
    <row r="171" spans="6:31" s="88" customFormat="1" ht="12.75">
      <c r="F171" s="120"/>
      <c r="G171" s="91"/>
      <c r="H171" s="123"/>
      <c r="I171" s="91"/>
      <c r="J171" s="123"/>
      <c r="K171" s="91"/>
      <c r="L171" s="120"/>
      <c r="M171" s="89"/>
      <c r="N171" s="120"/>
      <c r="O171" s="89"/>
      <c r="P171" s="120"/>
      <c r="Q171" s="89"/>
      <c r="R171" s="120"/>
      <c r="S171" s="89"/>
      <c r="T171" s="120"/>
      <c r="U171" s="89"/>
      <c r="V171" s="120"/>
      <c r="W171" s="89"/>
      <c r="X171" s="89"/>
      <c r="Y171" s="89"/>
      <c r="Z171" s="89"/>
      <c r="AA171" s="89"/>
      <c r="AC171"/>
      <c r="AD171"/>
      <c r="AE171"/>
    </row>
    <row r="172" spans="2:31" s="88" customFormat="1" ht="12.75">
      <c r="B172" s="88" t="s">
        <v>89</v>
      </c>
      <c r="C172" s="88" t="s">
        <v>198</v>
      </c>
      <c r="D172" s="88" t="s">
        <v>421</v>
      </c>
      <c r="F172" s="120"/>
      <c r="G172" s="91"/>
      <c r="H172" s="123"/>
      <c r="I172" s="91"/>
      <c r="J172" s="123"/>
      <c r="K172" s="91"/>
      <c r="L172" s="120"/>
      <c r="M172" s="89"/>
      <c r="N172" s="120"/>
      <c r="O172" s="89"/>
      <c r="P172" s="120"/>
      <c r="Q172" s="89"/>
      <c r="R172" s="120"/>
      <c r="S172" s="89"/>
      <c r="T172" s="120"/>
      <c r="U172" s="89"/>
      <c r="V172" s="120"/>
      <c r="W172" s="89"/>
      <c r="X172" s="89"/>
      <c r="Y172" s="89"/>
      <c r="Z172" s="89"/>
      <c r="AA172" s="89"/>
      <c r="AC172"/>
      <c r="AD172"/>
      <c r="AE172"/>
    </row>
    <row r="173" spans="2:67" s="88" customFormat="1" ht="12.75">
      <c r="B173" s="8" t="s">
        <v>82</v>
      </c>
      <c r="C173" s="8"/>
      <c r="D173" s="8" t="s">
        <v>17</v>
      </c>
      <c r="F173" s="121"/>
      <c r="G173" s="91">
        <v>52927</v>
      </c>
      <c r="H173" s="123"/>
      <c r="I173" s="91">
        <v>50344</v>
      </c>
      <c r="J173" s="123"/>
      <c r="K173" s="91">
        <v>49881</v>
      </c>
      <c r="L173" s="123"/>
      <c r="M173" s="91"/>
      <c r="N173" s="123"/>
      <c r="O173" s="91"/>
      <c r="P173" s="123"/>
      <c r="Q173" s="91"/>
      <c r="R173" s="123"/>
      <c r="S173" s="91"/>
      <c r="T173" s="123"/>
      <c r="U173" s="91"/>
      <c r="V173" s="123"/>
      <c r="W173" s="91"/>
      <c r="X173" s="91"/>
      <c r="Y173" s="91"/>
      <c r="Z173" s="91"/>
      <c r="AA173" s="91"/>
      <c r="AB173" s="91"/>
      <c r="AC173"/>
      <c r="AD173"/>
      <c r="AE173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</row>
    <row r="174" spans="2:67" s="88" customFormat="1" ht="12.75">
      <c r="B174" s="8" t="s">
        <v>87</v>
      </c>
      <c r="C174" s="8"/>
      <c r="D174" s="8" t="s">
        <v>18</v>
      </c>
      <c r="F174" s="121"/>
      <c r="G174" s="91">
        <v>13</v>
      </c>
      <c r="H174" s="123"/>
      <c r="I174" s="91">
        <v>13.2</v>
      </c>
      <c r="J174" s="123"/>
      <c r="K174" s="91">
        <v>12.7</v>
      </c>
      <c r="L174" s="123"/>
      <c r="M174" s="91"/>
      <c r="N174" s="123"/>
      <c r="O174" s="91"/>
      <c r="P174" s="123"/>
      <c r="Q174" s="91"/>
      <c r="R174" s="123"/>
      <c r="S174" s="91"/>
      <c r="T174" s="123"/>
      <c r="U174" s="91"/>
      <c r="V174" s="123"/>
      <c r="W174" s="91"/>
      <c r="X174" s="91"/>
      <c r="Y174" s="91"/>
      <c r="Z174" s="91"/>
      <c r="AA174" s="91"/>
      <c r="AB174" s="91"/>
      <c r="AC174"/>
      <c r="AD174"/>
      <c r="AE174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</row>
    <row r="175" spans="2:67" s="88" customFormat="1" ht="12.75">
      <c r="B175" s="8" t="s">
        <v>88</v>
      </c>
      <c r="C175" s="8"/>
      <c r="D175" s="8" t="s">
        <v>18</v>
      </c>
      <c r="F175" s="121"/>
      <c r="G175" s="91">
        <v>25.5</v>
      </c>
      <c r="H175" s="123"/>
      <c r="I175" s="91">
        <v>26.6</v>
      </c>
      <c r="J175" s="123"/>
      <c r="K175" s="91">
        <v>26.3</v>
      </c>
      <c r="L175" s="123"/>
      <c r="M175" s="91"/>
      <c r="N175" s="123"/>
      <c r="O175" s="91"/>
      <c r="P175" s="123"/>
      <c r="Q175" s="91"/>
      <c r="R175" s="123"/>
      <c r="S175" s="91"/>
      <c r="T175" s="123"/>
      <c r="U175" s="91"/>
      <c r="V175" s="123"/>
      <c r="W175" s="91"/>
      <c r="X175" s="91"/>
      <c r="Y175" s="91"/>
      <c r="Z175" s="91"/>
      <c r="AA175" s="91"/>
      <c r="AB175" s="91"/>
      <c r="AC175"/>
      <c r="AD175"/>
      <c r="AE175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</row>
    <row r="176" spans="2:67" s="88" customFormat="1" ht="12.75">
      <c r="B176" s="8" t="s">
        <v>81</v>
      </c>
      <c r="C176" s="8"/>
      <c r="D176" s="8" t="s">
        <v>19</v>
      </c>
      <c r="F176" s="121"/>
      <c r="G176" s="91">
        <v>190.1</v>
      </c>
      <c r="H176" s="123"/>
      <c r="I176" s="91">
        <v>197.6</v>
      </c>
      <c r="J176" s="123"/>
      <c r="K176" s="91">
        <v>199.4</v>
      </c>
      <c r="L176" s="123"/>
      <c r="M176" s="91"/>
      <c r="N176" s="123"/>
      <c r="O176" s="91"/>
      <c r="P176" s="123"/>
      <c r="Q176" s="91"/>
      <c r="R176" s="123"/>
      <c r="S176" s="91"/>
      <c r="T176" s="123"/>
      <c r="U176" s="91"/>
      <c r="V176" s="123"/>
      <c r="W176" s="91"/>
      <c r="X176" s="91"/>
      <c r="Y176" s="91"/>
      <c r="Z176" s="91"/>
      <c r="AA176" s="91"/>
      <c r="AB176" s="91"/>
      <c r="AC176"/>
      <c r="AD176"/>
      <c r="AE176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</row>
    <row r="177" spans="6:31" s="88" customFormat="1" ht="12.75">
      <c r="F177" s="120"/>
      <c r="G177" s="91"/>
      <c r="H177" s="123"/>
      <c r="I177" s="91"/>
      <c r="J177" s="123"/>
      <c r="K177" s="91"/>
      <c r="L177" s="120"/>
      <c r="M177" s="89"/>
      <c r="N177" s="120"/>
      <c r="O177" s="89"/>
      <c r="P177" s="120"/>
      <c r="Q177" s="89"/>
      <c r="R177" s="120"/>
      <c r="S177" s="89"/>
      <c r="T177" s="120"/>
      <c r="U177" s="89"/>
      <c r="V177" s="120"/>
      <c r="W177" s="89"/>
      <c r="X177" s="89"/>
      <c r="Y177" s="89"/>
      <c r="Z177" s="89"/>
      <c r="AA177" s="89"/>
      <c r="AC177"/>
      <c r="AD177"/>
      <c r="AE177"/>
    </row>
    <row r="178" spans="1:31" s="88" customFormat="1" ht="12.75">
      <c r="A178" s="88">
        <v>9</v>
      </c>
      <c r="B178" s="41" t="s">
        <v>315</v>
      </c>
      <c r="F178" s="120"/>
      <c r="G178" s="50" t="s">
        <v>316</v>
      </c>
      <c r="H178" s="50"/>
      <c r="I178" s="50" t="s">
        <v>317</v>
      </c>
      <c r="J178" s="50"/>
      <c r="K178" s="50" t="s">
        <v>318</v>
      </c>
      <c r="L178" s="50"/>
      <c r="M178" s="50" t="s">
        <v>319</v>
      </c>
      <c r="N178" s="50"/>
      <c r="O178" s="50" t="s">
        <v>320</v>
      </c>
      <c r="P178" s="50"/>
      <c r="Q178" s="50" t="s">
        <v>321</v>
      </c>
      <c r="R178" s="50"/>
      <c r="S178" s="50" t="s">
        <v>322</v>
      </c>
      <c r="T178" s="50"/>
      <c r="U178" s="50" t="s">
        <v>323</v>
      </c>
      <c r="V178" s="50"/>
      <c r="W178" s="50" t="s">
        <v>47</v>
      </c>
      <c r="X178" s="89"/>
      <c r="Y178" s="89"/>
      <c r="Z178" s="89"/>
      <c r="AA178" s="89"/>
      <c r="AC178"/>
      <c r="AD178"/>
      <c r="AE178"/>
    </row>
    <row r="179" spans="6:31" s="88" customFormat="1" ht="12.75">
      <c r="F179" s="120"/>
      <c r="G179" s="91"/>
      <c r="H179" s="123"/>
      <c r="I179" s="91"/>
      <c r="J179" s="123"/>
      <c r="K179" s="91"/>
      <c r="L179" s="120"/>
      <c r="M179" s="89"/>
      <c r="N179" s="120"/>
      <c r="O179" s="89"/>
      <c r="P179" s="120"/>
      <c r="Q179" s="89"/>
      <c r="R179" s="120"/>
      <c r="S179" s="89"/>
      <c r="T179" s="120"/>
      <c r="U179" s="89"/>
      <c r="V179" s="120"/>
      <c r="W179" s="89"/>
      <c r="X179" s="89"/>
      <c r="Y179" s="89"/>
      <c r="Z179" s="89"/>
      <c r="AA179" s="89"/>
      <c r="AC179"/>
      <c r="AD179"/>
      <c r="AE179"/>
    </row>
    <row r="180" spans="2:31" s="88" customFormat="1" ht="12.75">
      <c r="B180" s="88" t="s">
        <v>13</v>
      </c>
      <c r="C180" s="88" t="s">
        <v>421</v>
      </c>
      <c r="D180" s="88" t="s">
        <v>14</v>
      </c>
      <c r="E180" s="88" t="s">
        <v>15</v>
      </c>
      <c r="F180" s="120" t="s">
        <v>324</v>
      </c>
      <c r="G180" s="90">
        <v>0.004100040672</v>
      </c>
      <c r="H180" s="122" t="s">
        <v>324</v>
      </c>
      <c r="I180" s="90">
        <v>0.006400063488</v>
      </c>
      <c r="J180" s="122" t="s">
        <v>324</v>
      </c>
      <c r="K180" s="90">
        <v>0.002800027776</v>
      </c>
      <c r="L180" s="122" t="s">
        <v>324</v>
      </c>
      <c r="M180" s="90"/>
      <c r="N180" s="122" t="s">
        <v>324</v>
      </c>
      <c r="O180" s="90"/>
      <c r="P180" s="122" t="s">
        <v>324</v>
      </c>
      <c r="Q180" s="90"/>
      <c r="R180" s="122" t="s">
        <v>324</v>
      </c>
      <c r="S180" s="90"/>
      <c r="T180" s="122" t="s">
        <v>324</v>
      </c>
      <c r="U180" s="90"/>
      <c r="V180" s="120" t="s">
        <v>324</v>
      </c>
      <c r="W180" s="90">
        <f>AVERAGE(G180,I180,K180)</f>
        <v>0.004433377312</v>
      </c>
      <c r="X180" s="89"/>
      <c r="Y180" s="89"/>
      <c r="Z180" s="89"/>
      <c r="AA180" s="89"/>
      <c r="AB180" s="88">
        <v>0.004433377312</v>
      </c>
      <c r="AC180"/>
      <c r="AD180"/>
      <c r="AE180"/>
    </row>
    <row r="181" spans="2:31" s="88" customFormat="1" ht="12.75">
      <c r="B181" s="88" t="s">
        <v>83</v>
      </c>
      <c r="C181" s="88" t="s">
        <v>421</v>
      </c>
      <c r="D181" s="88" t="s">
        <v>57</v>
      </c>
      <c r="E181" s="88" t="s">
        <v>15</v>
      </c>
      <c r="F181" s="120" t="s">
        <v>324</v>
      </c>
      <c r="G181" s="91">
        <v>17.42623004186228</v>
      </c>
      <c r="H181" s="123" t="s">
        <v>324</v>
      </c>
      <c r="I181" s="91">
        <v>2.9906710190720203</v>
      </c>
      <c r="J181" s="123" t="s">
        <v>324</v>
      </c>
      <c r="K181" s="91">
        <v>5.5852267097323</v>
      </c>
      <c r="L181" s="120" t="s">
        <v>324</v>
      </c>
      <c r="M181" s="89"/>
      <c r="N181" s="120" t="s">
        <v>324</v>
      </c>
      <c r="O181" s="89"/>
      <c r="P181" s="120" t="s">
        <v>324</v>
      </c>
      <c r="Q181" s="89"/>
      <c r="R181" s="120" t="s">
        <v>324</v>
      </c>
      <c r="S181" s="89"/>
      <c r="T181" s="120" t="s">
        <v>324</v>
      </c>
      <c r="U181" s="89"/>
      <c r="V181" s="120" t="s">
        <v>324</v>
      </c>
      <c r="W181" s="91">
        <f>AVERAGE(G181,I181,K181)</f>
        <v>8.667375923555534</v>
      </c>
      <c r="X181" s="89"/>
      <c r="Y181" s="89"/>
      <c r="Z181" s="89"/>
      <c r="AA181" s="89"/>
      <c r="AB181" s="88">
        <v>8.667375923555534</v>
      </c>
      <c r="AC181"/>
      <c r="AD181"/>
      <c r="AE181"/>
    </row>
    <row r="182" spans="2:31" s="88" customFormat="1" ht="12.75">
      <c r="B182" s="92" t="s">
        <v>58</v>
      </c>
      <c r="C182" s="88" t="s">
        <v>421</v>
      </c>
      <c r="D182" s="88" t="s">
        <v>57</v>
      </c>
      <c r="E182" s="92" t="s">
        <v>15</v>
      </c>
      <c r="F182" s="120"/>
      <c r="G182" s="91">
        <f>G181</f>
        <v>17.42623004186228</v>
      </c>
      <c r="H182" s="123"/>
      <c r="I182" s="91">
        <f>I181</f>
        <v>2.9906710190720203</v>
      </c>
      <c r="J182" s="123"/>
      <c r="K182" s="91">
        <f>K181</f>
        <v>5.5852267097323</v>
      </c>
      <c r="L182" s="120"/>
      <c r="M182" s="89"/>
      <c r="N182" s="120"/>
      <c r="O182" s="89"/>
      <c r="P182" s="120"/>
      <c r="Q182" s="89"/>
      <c r="R182" s="120"/>
      <c r="S182" s="89"/>
      <c r="T182" s="120"/>
      <c r="U182" s="89"/>
      <c r="V182" s="120"/>
      <c r="W182" s="91">
        <f>AVERAGE(G182,I182,K182)</f>
        <v>8.667375923555534</v>
      </c>
      <c r="X182" s="89"/>
      <c r="Y182" s="89"/>
      <c r="Z182" s="89"/>
      <c r="AA182" s="89"/>
      <c r="AC182"/>
      <c r="AD182"/>
      <c r="AE182"/>
    </row>
    <row r="183" spans="6:31" s="88" customFormat="1" ht="12.75">
      <c r="F183" s="120"/>
      <c r="G183" s="91"/>
      <c r="H183" s="123"/>
      <c r="I183" s="91"/>
      <c r="J183" s="123"/>
      <c r="K183" s="91"/>
      <c r="L183" s="120"/>
      <c r="M183" s="89"/>
      <c r="N183" s="120"/>
      <c r="O183" s="89"/>
      <c r="P183" s="120"/>
      <c r="Q183" s="89"/>
      <c r="R183" s="120"/>
      <c r="S183" s="89"/>
      <c r="T183" s="120"/>
      <c r="U183" s="89"/>
      <c r="V183" s="120"/>
      <c r="W183" s="89"/>
      <c r="X183" s="89"/>
      <c r="Y183" s="89"/>
      <c r="Z183" s="89"/>
      <c r="AA183" s="89"/>
      <c r="AC183"/>
      <c r="AD183"/>
      <c r="AE183"/>
    </row>
    <row r="184" spans="2:31" s="88" customFormat="1" ht="12.75">
      <c r="B184" s="88" t="s">
        <v>89</v>
      </c>
      <c r="C184" s="88" t="s">
        <v>198</v>
      </c>
      <c r="D184" s="88" t="s">
        <v>421</v>
      </c>
      <c r="F184" s="120"/>
      <c r="G184" s="91"/>
      <c r="H184" s="123"/>
      <c r="I184" s="91"/>
      <c r="J184" s="123"/>
      <c r="K184" s="91"/>
      <c r="L184" s="120"/>
      <c r="M184" s="89"/>
      <c r="N184" s="120"/>
      <c r="O184" s="89"/>
      <c r="P184" s="120"/>
      <c r="Q184" s="89"/>
      <c r="R184" s="120"/>
      <c r="S184" s="89"/>
      <c r="T184" s="120"/>
      <c r="U184" s="89"/>
      <c r="V184" s="120"/>
      <c r="W184" s="89"/>
      <c r="X184" s="89"/>
      <c r="Y184" s="89"/>
      <c r="Z184" s="89"/>
      <c r="AA184" s="89"/>
      <c r="AC184"/>
      <c r="AD184"/>
      <c r="AE184"/>
    </row>
    <row r="185" spans="2:67" s="88" customFormat="1" ht="12.75">
      <c r="B185" s="8" t="s">
        <v>82</v>
      </c>
      <c r="C185" s="8"/>
      <c r="D185" s="8" t="s">
        <v>17</v>
      </c>
      <c r="F185" s="121"/>
      <c r="G185" s="91">
        <v>54536</v>
      </c>
      <c r="H185" s="123"/>
      <c r="I185" s="91">
        <v>53517</v>
      </c>
      <c r="J185" s="123"/>
      <c r="K185" s="91">
        <v>53604</v>
      </c>
      <c r="L185" s="123"/>
      <c r="M185" s="91"/>
      <c r="N185" s="123"/>
      <c r="O185" s="91"/>
      <c r="P185" s="123"/>
      <c r="Q185" s="91"/>
      <c r="R185" s="123"/>
      <c r="S185" s="91"/>
      <c r="T185" s="123"/>
      <c r="U185" s="91"/>
      <c r="V185" s="123"/>
      <c r="W185" s="91"/>
      <c r="X185" s="91"/>
      <c r="Y185" s="91"/>
      <c r="Z185" s="91"/>
      <c r="AA185" s="91"/>
      <c r="AB185" s="91"/>
      <c r="AC185"/>
      <c r="AD185"/>
      <c r="AE185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</row>
    <row r="186" spans="2:67" s="88" customFormat="1" ht="12.75">
      <c r="B186" s="8" t="s">
        <v>87</v>
      </c>
      <c r="C186" s="8"/>
      <c r="D186" s="8" t="s">
        <v>18</v>
      </c>
      <c r="F186" s="121"/>
      <c r="G186" s="91">
        <v>12.67</v>
      </c>
      <c r="H186" s="123"/>
      <c r="I186" s="91">
        <v>12.76</v>
      </c>
      <c r="J186" s="123"/>
      <c r="K186" s="91">
        <v>12.71</v>
      </c>
      <c r="L186" s="123"/>
      <c r="M186" s="91"/>
      <c r="N186" s="123"/>
      <c r="O186" s="91"/>
      <c r="P186" s="123"/>
      <c r="Q186" s="91"/>
      <c r="R186" s="123"/>
      <c r="S186" s="91"/>
      <c r="T186" s="123"/>
      <c r="U186" s="91"/>
      <c r="V186" s="123"/>
      <c r="W186" s="91"/>
      <c r="X186" s="91"/>
      <c r="Y186" s="91"/>
      <c r="Z186" s="91"/>
      <c r="AA186" s="91"/>
      <c r="AB186" s="91"/>
      <c r="AC186"/>
      <c r="AD186"/>
      <c r="AE186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</row>
    <row r="187" spans="2:67" s="88" customFormat="1" ht="12.75">
      <c r="B187" s="8" t="s">
        <v>88</v>
      </c>
      <c r="C187" s="8"/>
      <c r="D187" s="8" t="s">
        <v>18</v>
      </c>
      <c r="F187" s="121"/>
      <c r="G187" s="91">
        <v>29.9</v>
      </c>
      <c r="H187" s="123"/>
      <c r="I187" s="91">
        <v>29.8</v>
      </c>
      <c r="J187" s="123"/>
      <c r="K187" s="91">
        <v>28.9</v>
      </c>
      <c r="L187" s="123"/>
      <c r="M187" s="91"/>
      <c r="N187" s="123"/>
      <c r="O187" s="91"/>
      <c r="P187" s="123"/>
      <c r="Q187" s="91"/>
      <c r="R187" s="123"/>
      <c r="S187" s="91"/>
      <c r="T187" s="123"/>
      <c r="U187" s="91"/>
      <c r="V187" s="123"/>
      <c r="W187" s="91"/>
      <c r="X187" s="91"/>
      <c r="Y187" s="91"/>
      <c r="Z187" s="91"/>
      <c r="AA187" s="91"/>
      <c r="AB187" s="91"/>
      <c r="AC187"/>
      <c r="AD187"/>
      <c r="AE187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</row>
    <row r="188" spans="2:67" s="88" customFormat="1" ht="12.75">
      <c r="B188" s="8" t="s">
        <v>81</v>
      </c>
      <c r="C188" s="8"/>
      <c r="D188" s="8" t="s">
        <v>19</v>
      </c>
      <c r="F188" s="121"/>
      <c r="G188" s="91">
        <v>187.8</v>
      </c>
      <c r="H188" s="123"/>
      <c r="I188" s="91">
        <v>188.1</v>
      </c>
      <c r="J188" s="123"/>
      <c r="K188" s="91">
        <v>188.6</v>
      </c>
      <c r="L188" s="123"/>
      <c r="M188" s="91"/>
      <c r="N188" s="123"/>
      <c r="O188" s="91"/>
      <c r="P188" s="123"/>
      <c r="Q188" s="91"/>
      <c r="R188" s="123"/>
      <c r="S188" s="91"/>
      <c r="T188" s="123"/>
      <c r="U188" s="91"/>
      <c r="V188" s="123"/>
      <c r="W188" s="91"/>
      <c r="X188" s="91"/>
      <c r="Y188" s="91"/>
      <c r="Z188" s="91"/>
      <c r="AA188" s="91"/>
      <c r="AB188" s="91"/>
      <c r="AC188"/>
      <c r="AD188"/>
      <c r="AE188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</row>
    <row r="189" spans="6:31" s="88" customFormat="1" ht="12.75">
      <c r="F189" s="120"/>
      <c r="G189" s="91"/>
      <c r="H189" s="123"/>
      <c r="I189" s="91"/>
      <c r="J189" s="123"/>
      <c r="K189" s="91"/>
      <c r="L189" s="120"/>
      <c r="M189" s="89"/>
      <c r="N189" s="120"/>
      <c r="O189" s="89"/>
      <c r="P189" s="120"/>
      <c r="Q189" s="89"/>
      <c r="R189" s="120"/>
      <c r="S189" s="89"/>
      <c r="T189" s="120"/>
      <c r="U189" s="89"/>
      <c r="V189" s="120"/>
      <c r="W189" s="89"/>
      <c r="X189" s="89"/>
      <c r="Y189" s="89"/>
      <c r="Z189" s="89"/>
      <c r="AA189" s="89"/>
      <c r="AC189"/>
      <c r="AD189"/>
      <c r="AE189"/>
    </row>
    <row r="190" spans="1:31" s="88" customFormat="1" ht="12.75">
      <c r="A190" s="88" t="s">
        <v>426</v>
      </c>
      <c r="B190" s="41" t="s">
        <v>280</v>
      </c>
      <c r="F190" s="120"/>
      <c r="G190" s="50" t="s">
        <v>316</v>
      </c>
      <c r="H190" s="50"/>
      <c r="I190" s="50" t="s">
        <v>317</v>
      </c>
      <c r="J190" s="50"/>
      <c r="K190" s="50" t="s">
        <v>318</v>
      </c>
      <c r="L190" s="50"/>
      <c r="M190" s="50" t="s">
        <v>319</v>
      </c>
      <c r="N190" s="50"/>
      <c r="O190" s="50" t="s">
        <v>320</v>
      </c>
      <c r="P190" s="50"/>
      <c r="Q190" s="50" t="s">
        <v>321</v>
      </c>
      <c r="R190" s="50"/>
      <c r="S190" s="50" t="s">
        <v>322</v>
      </c>
      <c r="T190" s="50"/>
      <c r="U190" s="50" t="s">
        <v>323</v>
      </c>
      <c r="V190" s="50"/>
      <c r="W190" s="50" t="s">
        <v>47</v>
      </c>
      <c r="X190" s="89"/>
      <c r="Y190" s="89"/>
      <c r="Z190" s="89"/>
      <c r="AA190" s="89"/>
      <c r="AC190"/>
      <c r="AD190"/>
      <c r="AE190"/>
    </row>
    <row r="191" spans="6:31" s="88" customFormat="1" ht="12.75">
      <c r="F191" s="120"/>
      <c r="G191" s="91"/>
      <c r="H191" s="123"/>
      <c r="I191" s="91"/>
      <c r="J191" s="123"/>
      <c r="K191" s="91"/>
      <c r="L191" s="120"/>
      <c r="M191" s="89"/>
      <c r="N191" s="120"/>
      <c r="O191" s="89"/>
      <c r="P191" s="120"/>
      <c r="Q191" s="89"/>
      <c r="R191" s="120"/>
      <c r="S191" s="89"/>
      <c r="T191" s="120"/>
      <c r="U191" s="89"/>
      <c r="V191" s="120"/>
      <c r="W191" s="89"/>
      <c r="X191" s="89"/>
      <c r="Y191" s="89"/>
      <c r="Z191" s="89"/>
      <c r="AA191" s="89"/>
      <c r="AC191"/>
      <c r="AD191"/>
      <c r="AE191"/>
    </row>
    <row r="192" spans="2:31" s="88" customFormat="1" ht="12.75">
      <c r="B192" s="88" t="s">
        <v>13</v>
      </c>
      <c r="C192" s="88" t="s">
        <v>421</v>
      </c>
      <c r="D192" s="88" t="s">
        <v>14</v>
      </c>
      <c r="E192" s="88" t="s">
        <v>15</v>
      </c>
      <c r="F192" s="120" t="s">
        <v>324</v>
      </c>
      <c r="G192" s="90">
        <v>0.00100000992</v>
      </c>
      <c r="H192" s="122" t="s">
        <v>324</v>
      </c>
      <c r="I192" s="90">
        <v>0.000200001984</v>
      </c>
      <c r="J192" s="122" t="s">
        <v>324</v>
      </c>
      <c r="K192" s="90">
        <v>0.003700036704</v>
      </c>
      <c r="L192" s="122" t="s">
        <v>324</v>
      </c>
      <c r="M192" s="90"/>
      <c r="N192" s="122" t="s">
        <v>324</v>
      </c>
      <c r="O192" s="90"/>
      <c r="P192" s="122" t="s">
        <v>324</v>
      </c>
      <c r="Q192" s="90"/>
      <c r="R192" s="122" t="s">
        <v>324</v>
      </c>
      <c r="S192" s="90"/>
      <c r="T192" s="122" t="s">
        <v>324</v>
      </c>
      <c r="U192" s="90"/>
      <c r="V192" s="120" t="s">
        <v>324</v>
      </c>
      <c r="W192" s="90">
        <f>AVERAGE(G192,I192,K192)</f>
        <v>0.001633349536</v>
      </c>
      <c r="X192" s="89"/>
      <c r="Y192" s="89"/>
      <c r="Z192" s="89"/>
      <c r="AA192" s="89"/>
      <c r="AB192" s="88">
        <v>0.001633349536</v>
      </c>
      <c r="AC192"/>
      <c r="AD192"/>
      <c r="AE192"/>
    </row>
    <row r="193" spans="2:31" s="88" customFormat="1" ht="12.75">
      <c r="B193" s="88" t="s">
        <v>83</v>
      </c>
      <c r="C193" s="88" t="s">
        <v>421</v>
      </c>
      <c r="D193" s="88" t="s">
        <v>57</v>
      </c>
      <c r="E193" s="88" t="s">
        <v>15</v>
      </c>
      <c r="F193" s="120" t="s">
        <v>324</v>
      </c>
      <c r="G193" s="91">
        <v>7.4357563792077235</v>
      </c>
      <c r="H193" s="123" t="s">
        <v>324</v>
      </c>
      <c r="I193" s="91">
        <v>4.544638534554874</v>
      </c>
      <c r="J193" s="123" t="s">
        <v>324</v>
      </c>
      <c r="K193" s="91">
        <v>4.13180905641211</v>
      </c>
      <c r="L193" s="120" t="s">
        <v>324</v>
      </c>
      <c r="M193" s="89"/>
      <c r="N193" s="120" t="s">
        <v>324</v>
      </c>
      <c r="O193" s="89"/>
      <c r="P193" s="120" t="s">
        <v>324</v>
      </c>
      <c r="Q193" s="89"/>
      <c r="R193" s="120" t="s">
        <v>324</v>
      </c>
      <c r="S193" s="89"/>
      <c r="T193" s="120" t="s">
        <v>324</v>
      </c>
      <c r="U193" s="89"/>
      <c r="V193" s="120" t="s">
        <v>324</v>
      </c>
      <c r="W193" s="91">
        <f>AVERAGE(G193,I193,K193)</f>
        <v>5.370734656724903</v>
      </c>
      <c r="X193" s="89"/>
      <c r="Y193" s="89"/>
      <c r="Z193" s="89"/>
      <c r="AA193" s="89"/>
      <c r="AB193" s="88">
        <v>5.370734656724903</v>
      </c>
      <c r="AC193"/>
      <c r="AD193"/>
      <c r="AE193"/>
    </row>
    <row r="194" spans="2:31" s="88" customFormat="1" ht="12.75">
      <c r="B194" s="92" t="s">
        <v>58</v>
      </c>
      <c r="C194" s="88" t="s">
        <v>421</v>
      </c>
      <c r="D194" s="88" t="s">
        <v>57</v>
      </c>
      <c r="E194" s="92" t="s">
        <v>15</v>
      </c>
      <c r="F194" s="120"/>
      <c r="G194" s="91">
        <f>G193</f>
        <v>7.4357563792077235</v>
      </c>
      <c r="H194" s="123"/>
      <c r="I194" s="91">
        <f>I193</f>
        <v>4.544638534554874</v>
      </c>
      <c r="J194" s="123"/>
      <c r="K194" s="91">
        <f>K193</f>
        <v>4.13180905641211</v>
      </c>
      <c r="L194" s="120"/>
      <c r="M194" s="89"/>
      <c r="N194" s="120"/>
      <c r="O194" s="89"/>
      <c r="P194" s="120"/>
      <c r="Q194" s="89"/>
      <c r="R194" s="120"/>
      <c r="S194" s="89"/>
      <c r="T194" s="120"/>
      <c r="U194" s="89"/>
      <c r="V194" s="120"/>
      <c r="W194" s="91">
        <f>AVERAGE(G194,I194,K194)</f>
        <v>5.370734656724903</v>
      </c>
      <c r="X194" s="89"/>
      <c r="Y194" s="89"/>
      <c r="Z194" s="89"/>
      <c r="AA194" s="89"/>
      <c r="AC194"/>
      <c r="AD194"/>
      <c r="AE194"/>
    </row>
    <row r="195" spans="6:31" s="88" customFormat="1" ht="12.75">
      <c r="F195" s="120"/>
      <c r="G195" s="91"/>
      <c r="H195" s="123"/>
      <c r="I195" s="91"/>
      <c r="J195" s="123"/>
      <c r="K195" s="91"/>
      <c r="L195" s="120"/>
      <c r="M195" s="89"/>
      <c r="N195" s="120"/>
      <c r="O195" s="89"/>
      <c r="P195" s="120"/>
      <c r="Q195" s="89"/>
      <c r="R195" s="120"/>
      <c r="S195" s="89"/>
      <c r="T195" s="120"/>
      <c r="U195" s="89"/>
      <c r="V195" s="120"/>
      <c r="W195" s="89"/>
      <c r="X195" s="89"/>
      <c r="Y195" s="89"/>
      <c r="Z195" s="89"/>
      <c r="AA195" s="89"/>
      <c r="AC195"/>
      <c r="AD195"/>
      <c r="AE195"/>
    </row>
    <row r="196" spans="2:31" s="88" customFormat="1" ht="12.75">
      <c r="B196" s="88" t="s">
        <v>89</v>
      </c>
      <c r="C196" s="88" t="s">
        <v>198</v>
      </c>
      <c r="D196" s="88" t="s">
        <v>421</v>
      </c>
      <c r="F196" s="120"/>
      <c r="G196" s="91"/>
      <c r="H196" s="123"/>
      <c r="I196" s="91"/>
      <c r="J196" s="123"/>
      <c r="K196" s="91"/>
      <c r="L196" s="120"/>
      <c r="M196" s="89"/>
      <c r="N196" s="120"/>
      <c r="O196" s="89"/>
      <c r="P196" s="120"/>
      <c r="Q196" s="89"/>
      <c r="R196" s="120"/>
      <c r="S196" s="89"/>
      <c r="T196" s="120"/>
      <c r="U196" s="89"/>
      <c r="V196" s="120"/>
      <c r="W196" s="89"/>
      <c r="X196" s="89"/>
      <c r="Y196" s="89"/>
      <c r="Z196" s="89"/>
      <c r="AA196" s="89"/>
      <c r="AC196"/>
      <c r="AD196"/>
      <c r="AE196"/>
    </row>
    <row r="197" spans="2:67" s="88" customFormat="1" ht="12.75">
      <c r="B197" s="8" t="s">
        <v>82</v>
      </c>
      <c r="C197" s="8"/>
      <c r="D197" s="8" t="s">
        <v>17</v>
      </c>
      <c r="F197" s="121"/>
      <c r="G197" s="91">
        <v>53595</v>
      </c>
      <c r="H197" s="123"/>
      <c r="I197" s="91">
        <v>54937</v>
      </c>
      <c r="J197" s="123"/>
      <c r="K197" s="91">
        <v>52071</v>
      </c>
      <c r="L197" s="123"/>
      <c r="M197" s="91"/>
      <c r="N197" s="123"/>
      <c r="O197" s="91"/>
      <c r="P197" s="123"/>
      <c r="Q197" s="91"/>
      <c r="R197" s="123"/>
      <c r="S197" s="91"/>
      <c r="T197" s="123"/>
      <c r="U197" s="91"/>
      <c r="V197" s="123"/>
      <c r="W197" s="91"/>
      <c r="X197" s="91"/>
      <c r="Y197" s="91"/>
      <c r="Z197" s="91"/>
      <c r="AA197" s="91"/>
      <c r="AB197" s="91"/>
      <c r="AC197"/>
      <c r="AD197"/>
      <c r="AE197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</row>
    <row r="198" spans="2:67" s="88" customFormat="1" ht="12.75">
      <c r="B198" s="8" t="s">
        <v>87</v>
      </c>
      <c r="C198" s="8"/>
      <c r="D198" s="8" t="s">
        <v>18</v>
      </c>
      <c r="F198" s="121"/>
      <c r="G198" s="91">
        <v>13.85</v>
      </c>
      <c r="H198" s="123"/>
      <c r="I198" s="91">
        <v>13.91</v>
      </c>
      <c r="J198" s="123"/>
      <c r="K198" s="91">
        <v>13.41</v>
      </c>
      <c r="L198" s="123"/>
      <c r="M198" s="91"/>
      <c r="N198" s="123"/>
      <c r="O198" s="91"/>
      <c r="P198" s="123"/>
      <c r="Q198" s="91"/>
      <c r="R198" s="123"/>
      <c r="S198" s="91"/>
      <c r="T198" s="123"/>
      <c r="U198" s="91"/>
      <c r="V198" s="123"/>
      <c r="W198" s="91"/>
      <c r="X198" s="91"/>
      <c r="Y198" s="91"/>
      <c r="Z198" s="91"/>
      <c r="AA198" s="91"/>
      <c r="AB198" s="91"/>
      <c r="AC198"/>
      <c r="AD198"/>
      <c r="AE198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</row>
    <row r="199" spans="2:67" s="88" customFormat="1" ht="12.75">
      <c r="B199" s="8" t="s">
        <v>88</v>
      </c>
      <c r="C199" s="8"/>
      <c r="D199" s="8" t="s">
        <v>18</v>
      </c>
      <c r="F199" s="121"/>
      <c r="G199" s="91">
        <v>26.8</v>
      </c>
      <c r="H199" s="123"/>
      <c r="I199" s="91">
        <v>27.4</v>
      </c>
      <c r="J199" s="123"/>
      <c r="K199" s="91">
        <v>26.9</v>
      </c>
      <c r="L199" s="123"/>
      <c r="M199" s="91"/>
      <c r="N199" s="123"/>
      <c r="O199" s="91"/>
      <c r="P199" s="123"/>
      <c r="Q199" s="91"/>
      <c r="R199" s="123"/>
      <c r="S199" s="91"/>
      <c r="T199" s="123"/>
      <c r="U199" s="91"/>
      <c r="V199" s="123"/>
      <c r="W199" s="91"/>
      <c r="X199" s="91"/>
      <c r="Y199" s="91"/>
      <c r="Z199" s="91"/>
      <c r="AA199" s="91"/>
      <c r="AB199" s="91"/>
      <c r="AC199"/>
      <c r="AD199"/>
      <c r="AE199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</row>
    <row r="200" spans="2:67" s="88" customFormat="1" ht="12.75">
      <c r="B200" s="8" t="s">
        <v>81</v>
      </c>
      <c r="C200" s="8"/>
      <c r="D200" s="8" t="s">
        <v>19</v>
      </c>
      <c r="F200" s="121"/>
      <c r="G200" s="91">
        <v>190.8</v>
      </c>
      <c r="H200" s="123"/>
      <c r="I200" s="91">
        <v>191.9</v>
      </c>
      <c r="J200" s="123"/>
      <c r="K200" s="91">
        <v>193</v>
      </c>
      <c r="L200" s="123"/>
      <c r="M200" s="91"/>
      <c r="N200" s="123"/>
      <c r="O200" s="91"/>
      <c r="P200" s="123"/>
      <c r="Q200" s="91"/>
      <c r="R200" s="123"/>
      <c r="S200" s="91"/>
      <c r="T200" s="123"/>
      <c r="U200" s="91"/>
      <c r="V200" s="123"/>
      <c r="W200" s="91"/>
      <c r="X200" s="91"/>
      <c r="Y200" s="91"/>
      <c r="Z200" s="91"/>
      <c r="AA200" s="91"/>
      <c r="AB200" s="91"/>
      <c r="AC200"/>
      <c r="AD200"/>
      <c r="AE200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</row>
    <row r="201" spans="6:31" s="88" customFormat="1" ht="12.75">
      <c r="F201" s="120"/>
      <c r="G201" s="91"/>
      <c r="H201" s="123"/>
      <c r="I201" s="91"/>
      <c r="J201" s="123"/>
      <c r="K201" s="91"/>
      <c r="L201" s="120"/>
      <c r="M201" s="89"/>
      <c r="N201" s="120"/>
      <c r="O201" s="89"/>
      <c r="P201" s="120"/>
      <c r="Q201" s="89"/>
      <c r="R201" s="120"/>
      <c r="S201" s="89"/>
      <c r="T201" s="120"/>
      <c r="U201" s="89"/>
      <c r="V201" s="120"/>
      <c r="W201" s="89"/>
      <c r="X201" s="89"/>
      <c r="Y201" s="89"/>
      <c r="Z201" s="89"/>
      <c r="AA201" s="89"/>
      <c r="AC201"/>
      <c r="AD201"/>
      <c r="AE201"/>
    </row>
    <row r="202" spans="1:31" s="88" customFormat="1" ht="12.75">
      <c r="A202" s="88" t="s">
        <v>427</v>
      </c>
      <c r="B202" s="41" t="s">
        <v>283</v>
      </c>
      <c r="F202" s="120"/>
      <c r="G202" s="50" t="s">
        <v>316</v>
      </c>
      <c r="H202" s="50"/>
      <c r="I202" s="50" t="s">
        <v>317</v>
      </c>
      <c r="J202" s="50"/>
      <c r="K202" s="50" t="s">
        <v>318</v>
      </c>
      <c r="L202" s="50"/>
      <c r="M202" s="50" t="s">
        <v>319</v>
      </c>
      <c r="N202" s="50"/>
      <c r="O202" s="50" t="s">
        <v>320</v>
      </c>
      <c r="P202" s="50"/>
      <c r="Q202" s="50" t="s">
        <v>321</v>
      </c>
      <c r="R202" s="50"/>
      <c r="S202" s="50" t="s">
        <v>322</v>
      </c>
      <c r="T202" s="50"/>
      <c r="U202" s="50" t="s">
        <v>323</v>
      </c>
      <c r="V202" s="50"/>
      <c r="W202" s="50" t="s">
        <v>47</v>
      </c>
      <c r="X202" s="89"/>
      <c r="Y202" s="89"/>
      <c r="Z202" s="89"/>
      <c r="AA202" s="89"/>
      <c r="AC202"/>
      <c r="AD202"/>
      <c r="AE202"/>
    </row>
    <row r="203" spans="6:31" s="88" customFormat="1" ht="12.75">
      <c r="F203" s="120"/>
      <c r="G203" s="91"/>
      <c r="H203" s="123"/>
      <c r="I203" s="91"/>
      <c r="J203" s="123"/>
      <c r="K203" s="91"/>
      <c r="L203" s="120"/>
      <c r="M203" s="89"/>
      <c r="N203" s="120"/>
      <c r="O203" s="89"/>
      <c r="P203" s="120"/>
      <c r="Q203" s="89"/>
      <c r="R203" s="120"/>
      <c r="S203" s="89"/>
      <c r="T203" s="120"/>
      <c r="U203" s="89"/>
      <c r="V203" s="120"/>
      <c r="W203" s="89"/>
      <c r="X203" s="89"/>
      <c r="Y203" s="89"/>
      <c r="Z203" s="89"/>
      <c r="AA203" s="89"/>
      <c r="AC203"/>
      <c r="AD203"/>
      <c r="AE203"/>
    </row>
    <row r="204" spans="2:31" s="88" customFormat="1" ht="12.75">
      <c r="B204" s="88" t="s">
        <v>13</v>
      </c>
      <c r="C204" s="88" t="s">
        <v>421</v>
      </c>
      <c r="D204" s="88" t="s">
        <v>14</v>
      </c>
      <c r="E204" s="88" t="s">
        <v>15</v>
      </c>
      <c r="F204" s="120" t="s">
        <v>324</v>
      </c>
      <c r="G204" s="90">
        <v>0.003200031744</v>
      </c>
      <c r="H204" s="122" t="s">
        <v>324</v>
      </c>
      <c r="I204" s="90">
        <v>0.00350003472</v>
      </c>
      <c r="J204" s="122" t="s">
        <v>324</v>
      </c>
      <c r="K204" s="90">
        <v>0.002200021824</v>
      </c>
      <c r="L204" s="122" t="s">
        <v>324</v>
      </c>
      <c r="M204" s="90"/>
      <c r="N204" s="122" t="s">
        <v>324</v>
      </c>
      <c r="O204" s="90"/>
      <c r="P204" s="122" t="s">
        <v>324</v>
      </c>
      <c r="Q204" s="90"/>
      <c r="R204" s="122" t="s">
        <v>324</v>
      </c>
      <c r="S204" s="90"/>
      <c r="T204" s="122" t="s">
        <v>324</v>
      </c>
      <c r="U204" s="90"/>
      <c r="V204" s="120" t="s">
        <v>324</v>
      </c>
      <c r="W204" s="90">
        <f>AVERAGE(G204,I204,K204)</f>
        <v>0.0029666960959999996</v>
      </c>
      <c r="X204" s="89"/>
      <c r="Y204" s="89"/>
      <c r="Z204" s="89"/>
      <c r="AA204" s="89"/>
      <c r="AB204" s="88">
        <v>0.0029666960959999996</v>
      </c>
      <c r="AC204"/>
      <c r="AD204"/>
      <c r="AE204"/>
    </row>
    <row r="205" spans="2:31" s="88" customFormat="1" ht="12.75">
      <c r="B205" s="88" t="s">
        <v>83</v>
      </c>
      <c r="C205" s="88" t="s">
        <v>421</v>
      </c>
      <c r="D205" s="88" t="s">
        <v>57</v>
      </c>
      <c r="E205" s="88" t="s">
        <v>15</v>
      </c>
      <c r="F205" s="120" t="s">
        <v>324</v>
      </c>
      <c r="G205" s="91">
        <v>9.230358479763948</v>
      </c>
      <c r="H205" s="123" t="s">
        <v>324</v>
      </c>
      <c r="I205" s="91">
        <v>4.7708588069316</v>
      </c>
      <c r="J205" s="123" t="s">
        <v>324</v>
      </c>
      <c r="K205" s="91">
        <v>2.488892370709433</v>
      </c>
      <c r="L205" s="120" t="s">
        <v>324</v>
      </c>
      <c r="M205" s="89"/>
      <c r="N205" s="120" t="s">
        <v>324</v>
      </c>
      <c r="O205" s="89"/>
      <c r="P205" s="120" t="s">
        <v>324</v>
      </c>
      <c r="Q205" s="89"/>
      <c r="R205" s="120" t="s">
        <v>324</v>
      </c>
      <c r="S205" s="89"/>
      <c r="T205" s="120" t="s">
        <v>324</v>
      </c>
      <c r="U205" s="89"/>
      <c r="V205" s="120" t="s">
        <v>324</v>
      </c>
      <c r="W205" s="91">
        <f>AVERAGE(G205,I205,K205)</f>
        <v>5.496703219134994</v>
      </c>
      <c r="X205" s="89"/>
      <c r="Y205" s="89"/>
      <c r="Z205" s="89"/>
      <c r="AA205" s="89"/>
      <c r="AB205" s="88">
        <v>5.496703219134994</v>
      </c>
      <c r="AC205"/>
      <c r="AD205"/>
      <c r="AE205"/>
    </row>
    <row r="206" spans="2:31" s="88" customFormat="1" ht="12.75">
      <c r="B206" s="92" t="s">
        <v>58</v>
      </c>
      <c r="C206" s="88" t="s">
        <v>421</v>
      </c>
      <c r="D206" s="88" t="s">
        <v>57</v>
      </c>
      <c r="E206" s="92" t="s">
        <v>15</v>
      </c>
      <c r="F206" s="120"/>
      <c r="G206" s="91">
        <f>G205</f>
        <v>9.230358479763948</v>
      </c>
      <c r="H206" s="123"/>
      <c r="I206" s="91">
        <f>I205</f>
        <v>4.7708588069316</v>
      </c>
      <c r="J206" s="123"/>
      <c r="K206" s="91">
        <f>K205</f>
        <v>2.488892370709433</v>
      </c>
      <c r="L206" s="120"/>
      <c r="M206" s="89"/>
      <c r="N206" s="120"/>
      <c r="O206" s="89"/>
      <c r="P206" s="120"/>
      <c r="Q206" s="89"/>
      <c r="R206" s="120"/>
      <c r="S206" s="89"/>
      <c r="T206" s="120"/>
      <c r="U206" s="89"/>
      <c r="V206" s="120"/>
      <c r="W206" s="91">
        <f>AVERAGE(G206,I206,K206)</f>
        <v>5.496703219134994</v>
      </c>
      <c r="X206" s="89"/>
      <c r="Y206" s="89"/>
      <c r="Z206" s="89"/>
      <c r="AA206" s="89"/>
      <c r="AC206"/>
      <c r="AD206"/>
      <c r="AE206"/>
    </row>
    <row r="207" spans="6:31" s="88" customFormat="1" ht="12.75">
      <c r="F207" s="120"/>
      <c r="G207" s="91"/>
      <c r="H207" s="123"/>
      <c r="I207" s="91"/>
      <c r="J207" s="123"/>
      <c r="K207" s="91"/>
      <c r="L207" s="120"/>
      <c r="M207" s="89"/>
      <c r="N207" s="120"/>
      <c r="O207" s="89"/>
      <c r="P207" s="120"/>
      <c r="Q207" s="89"/>
      <c r="R207" s="120"/>
      <c r="S207" s="89"/>
      <c r="T207" s="120"/>
      <c r="U207" s="89"/>
      <c r="V207" s="120"/>
      <c r="W207" s="89"/>
      <c r="X207" s="89"/>
      <c r="Y207" s="89"/>
      <c r="Z207" s="89"/>
      <c r="AA207" s="89"/>
      <c r="AC207"/>
      <c r="AD207"/>
      <c r="AE207"/>
    </row>
    <row r="208" spans="2:31" s="88" customFormat="1" ht="12.75">
      <c r="B208" s="88" t="s">
        <v>89</v>
      </c>
      <c r="C208" s="88" t="s">
        <v>198</v>
      </c>
      <c r="D208" s="88" t="s">
        <v>421</v>
      </c>
      <c r="F208" s="120"/>
      <c r="G208" s="91"/>
      <c r="H208" s="123"/>
      <c r="I208" s="91"/>
      <c r="J208" s="123"/>
      <c r="K208" s="91"/>
      <c r="L208" s="120"/>
      <c r="M208" s="89"/>
      <c r="N208" s="120"/>
      <c r="O208" s="89"/>
      <c r="P208" s="120"/>
      <c r="Q208" s="89"/>
      <c r="R208" s="120"/>
      <c r="S208" s="89"/>
      <c r="T208" s="120"/>
      <c r="U208" s="89"/>
      <c r="V208" s="120"/>
      <c r="W208" s="89"/>
      <c r="X208" s="89"/>
      <c r="Y208" s="89"/>
      <c r="Z208" s="89"/>
      <c r="AA208" s="89"/>
      <c r="AC208"/>
      <c r="AD208"/>
      <c r="AE208"/>
    </row>
    <row r="209" spans="2:67" s="88" customFormat="1" ht="12.75">
      <c r="B209" s="8" t="s">
        <v>82</v>
      </c>
      <c r="C209" s="8"/>
      <c r="D209" s="8" t="s">
        <v>17</v>
      </c>
      <c r="F209" s="121"/>
      <c r="G209" s="91">
        <v>55395</v>
      </c>
      <c r="H209" s="123"/>
      <c r="I209" s="91">
        <v>53459</v>
      </c>
      <c r="J209" s="123"/>
      <c r="K209" s="91">
        <v>52508</v>
      </c>
      <c r="L209" s="123"/>
      <c r="M209" s="91"/>
      <c r="N209" s="123"/>
      <c r="O209" s="91"/>
      <c r="P209" s="123"/>
      <c r="Q209" s="91"/>
      <c r="R209" s="123"/>
      <c r="S209" s="91"/>
      <c r="T209" s="123"/>
      <c r="U209" s="91"/>
      <c r="V209" s="123"/>
      <c r="W209" s="91"/>
      <c r="X209" s="91"/>
      <c r="Y209" s="91"/>
      <c r="Z209" s="91"/>
      <c r="AA209" s="91"/>
      <c r="AB209" s="91"/>
      <c r="AC209"/>
      <c r="AD209"/>
      <c r="AE209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</row>
    <row r="210" spans="2:67" s="88" customFormat="1" ht="12.75">
      <c r="B210" s="8" t="s">
        <v>87</v>
      </c>
      <c r="C210" s="8"/>
      <c r="D210" s="8" t="s">
        <v>18</v>
      </c>
      <c r="F210" s="121"/>
      <c r="G210" s="91">
        <v>14.91</v>
      </c>
      <c r="H210" s="123"/>
      <c r="I210" s="91">
        <v>15.03</v>
      </c>
      <c r="J210" s="123"/>
      <c r="K210" s="91">
        <v>14.84</v>
      </c>
      <c r="L210" s="123"/>
      <c r="M210" s="91"/>
      <c r="N210" s="123"/>
      <c r="O210" s="91"/>
      <c r="P210" s="123"/>
      <c r="Q210" s="91"/>
      <c r="R210" s="123"/>
      <c r="S210" s="91"/>
      <c r="T210" s="123"/>
      <c r="U210" s="91"/>
      <c r="V210" s="123"/>
      <c r="W210" s="91"/>
      <c r="X210" s="91"/>
      <c r="Y210" s="91"/>
      <c r="Z210" s="91"/>
      <c r="AA210" s="91"/>
      <c r="AB210" s="91"/>
      <c r="AC210"/>
      <c r="AD210"/>
      <c r="AE210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</row>
    <row r="211" spans="2:67" s="88" customFormat="1" ht="12.75">
      <c r="B211" s="8" t="s">
        <v>88</v>
      </c>
      <c r="C211" s="8"/>
      <c r="D211" s="8" t="s">
        <v>18</v>
      </c>
      <c r="F211" s="121"/>
      <c r="G211" s="91">
        <v>26.4</v>
      </c>
      <c r="H211" s="123"/>
      <c r="I211" s="91">
        <v>26.2</v>
      </c>
      <c r="J211" s="123"/>
      <c r="K211" s="91">
        <v>27.9</v>
      </c>
      <c r="L211" s="123"/>
      <c r="M211" s="91"/>
      <c r="N211" s="123"/>
      <c r="O211" s="91"/>
      <c r="P211" s="123"/>
      <c r="Q211" s="91"/>
      <c r="R211" s="123"/>
      <c r="S211" s="91"/>
      <c r="T211" s="123"/>
      <c r="U211" s="91"/>
      <c r="V211" s="123"/>
      <c r="W211" s="91"/>
      <c r="X211" s="91"/>
      <c r="Y211" s="91"/>
      <c r="Z211" s="91"/>
      <c r="AA211" s="91"/>
      <c r="AB211" s="91"/>
      <c r="AC211"/>
      <c r="AD211"/>
      <c r="AE21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</row>
    <row r="212" spans="2:67" s="88" customFormat="1" ht="12.75">
      <c r="B212" s="8" t="s">
        <v>81</v>
      </c>
      <c r="C212" s="8"/>
      <c r="D212" s="8" t="s">
        <v>19</v>
      </c>
      <c r="F212" s="121"/>
      <c r="G212" s="91">
        <v>192.2</v>
      </c>
      <c r="H212" s="123"/>
      <c r="I212" s="91">
        <v>191.2</v>
      </c>
      <c r="J212" s="123"/>
      <c r="K212" s="91">
        <v>192.3</v>
      </c>
      <c r="L212" s="123"/>
      <c r="M212" s="91"/>
      <c r="N212" s="123"/>
      <c r="O212" s="91"/>
      <c r="P212" s="123"/>
      <c r="Q212" s="91"/>
      <c r="R212" s="123"/>
      <c r="S212" s="91"/>
      <c r="T212" s="123"/>
      <c r="U212" s="91"/>
      <c r="V212" s="123"/>
      <c r="W212" s="91"/>
      <c r="X212" s="91"/>
      <c r="Y212" s="91"/>
      <c r="Z212" s="91"/>
      <c r="AA212" s="91"/>
      <c r="AB212" s="91"/>
      <c r="AC212"/>
      <c r="AD212"/>
      <c r="AE212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</row>
    <row r="213" spans="6:31" s="88" customFormat="1" ht="12.75">
      <c r="F213" s="120"/>
      <c r="G213" s="91"/>
      <c r="H213" s="123"/>
      <c r="I213" s="91"/>
      <c r="J213" s="123"/>
      <c r="K213" s="91"/>
      <c r="L213" s="120"/>
      <c r="M213" s="89"/>
      <c r="N213" s="120"/>
      <c r="O213" s="89"/>
      <c r="P213" s="120"/>
      <c r="Q213" s="89"/>
      <c r="R213" s="120"/>
      <c r="S213" s="89"/>
      <c r="T213" s="120"/>
      <c r="U213" s="89"/>
      <c r="V213" s="120"/>
      <c r="W213" s="89"/>
      <c r="X213" s="89"/>
      <c r="Y213" s="89"/>
      <c r="Z213" s="89"/>
      <c r="AA213" s="89"/>
      <c r="AC213"/>
      <c r="AD213"/>
      <c r="AE213"/>
    </row>
    <row r="214" spans="1:31" s="88" customFormat="1" ht="12.75">
      <c r="A214" s="88" t="s">
        <v>428</v>
      </c>
      <c r="B214" s="41" t="s">
        <v>284</v>
      </c>
      <c r="F214" s="120"/>
      <c r="G214" s="50" t="s">
        <v>316</v>
      </c>
      <c r="H214" s="50"/>
      <c r="I214" s="50" t="s">
        <v>317</v>
      </c>
      <c r="J214" s="50"/>
      <c r="K214" s="50" t="s">
        <v>318</v>
      </c>
      <c r="L214" s="50"/>
      <c r="M214" s="50" t="s">
        <v>319</v>
      </c>
      <c r="N214" s="50"/>
      <c r="O214" s="50" t="s">
        <v>320</v>
      </c>
      <c r="P214" s="50"/>
      <c r="Q214" s="50" t="s">
        <v>321</v>
      </c>
      <c r="R214" s="50"/>
      <c r="S214" s="50" t="s">
        <v>322</v>
      </c>
      <c r="T214" s="50"/>
      <c r="U214" s="50" t="s">
        <v>323</v>
      </c>
      <c r="V214" s="50"/>
      <c r="W214" s="50" t="s">
        <v>47</v>
      </c>
      <c r="X214" s="89"/>
      <c r="Y214" s="89"/>
      <c r="Z214" s="89"/>
      <c r="AA214" s="89"/>
      <c r="AC214"/>
      <c r="AD214"/>
      <c r="AE214"/>
    </row>
    <row r="215" spans="6:31" s="88" customFormat="1" ht="12.75">
      <c r="F215" s="120"/>
      <c r="G215" s="91"/>
      <c r="H215" s="123"/>
      <c r="I215" s="91"/>
      <c r="J215" s="123"/>
      <c r="K215" s="91"/>
      <c r="L215" s="120"/>
      <c r="M215" s="89"/>
      <c r="N215" s="120"/>
      <c r="O215" s="89"/>
      <c r="P215" s="120"/>
      <c r="Q215" s="89"/>
      <c r="R215" s="120"/>
      <c r="S215" s="89"/>
      <c r="T215" s="120"/>
      <c r="U215" s="89"/>
      <c r="V215" s="120"/>
      <c r="W215" s="89"/>
      <c r="X215" s="89"/>
      <c r="Y215" s="89"/>
      <c r="Z215" s="89"/>
      <c r="AA215" s="89"/>
      <c r="AC215"/>
      <c r="AD215"/>
      <c r="AE215"/>
    </row>
    <row r="216" spans="2:31" s="88" customFormat="1" ht="12.75">
      <c r="B216" s="88" t="s">
        <v>13</v>
      </c>
      <c r="C216" s="88" t="s">
        <v>421</v>
      </c>
      <c r="D216" s="88" t="s">
        <v>14</v>
      </c>
      <c r="E216" s="88" t="s">
        <v>15</v>
      </c>
      <c r="F216" s="120" t="s">
        <v>324</v>
      </c>
      <c r="G216" s="90">
        <v>0.002100020832</v>
      </c>
      <c r="H216" s="122" t="s">
        <v>324</v>
      </c>
      <c r="I216" s="90">
        <v>0.003600035712</v>
      </c>
      <c r="J216" s="122" t="s">
        <v>324</v>
      </c>
      <c r="K216" s="90">
        <v>0.00350003472</v>
      </c>
      <c r="L216" s="122" t="s">
        <v>324</v>
      </c>
      <c r="M216" s="90">
        <v>0.003400033728</v>
      </c>
      <c r="N216" s="122" t="s">
        <v>324</v>
      </c>
      <c r="O216" s="90"/>
      <c r="P216" s="122" t="s">
        <v>324</v>
      </c>
      <c r="Q216" s="90"/>
      <c r="R216" s="122" t="s">
        <v>324</v>
      </c>
      <c r="S216" s="90"/>
      <c r="T216" s="122" t="s">
        <v>324</v>
      </c>
      <c r="U216" s="90"/>
      <c r="V216" s="120" t="s">
        <v>324</v>
      </c>
      <c r="W216" s="90">
        <f>AVERAGE(G216,I216,K216,M216)</f>
        <v>0.003150031248</v>
      </c>
      <c r="X216" s="89"/>
      <c r="Y216" s="89"/>
      <c r="Z216" s="89"/>
      <c r="AA216" s="89"/>
      <c r="AB216" s="88">
        <v>0.0033000327359999997</v>
      </c>
      <c r="AC216"/>
      <c r="AD216"/>
      <c r="AE216"/>
    </row>
    <row r="217" spans="2:31" s="88" customFormat="1" ht="12.75">
      <c r="B217" s="88" t="s">
        <v>50</v>
      </c>
      <c r="C217" s="88" t="s">
        <v>422</v>
      </c>
      <c r="D217" s="88" t="s">
        <v>16</v>
      </c>
      <c r="E217" s="88" t="s">
        <v>15</v>
      </c>
      <c r="F217" s="120" t="s">
        <v>102</v>
      </c>
      <c r="G217" s="91">
        <v>0.31518681508294205</v>
      </c>
      <c r="H217" s="123" t="s">
        <v>324</v>
      </c>
      <c r="I217" s="91">
        <v>1.7156011285499737</v>
      </c>
      <c r="J217" s="123" t="s">
        <v>102</v>
      </c>
      <c r="K217" s="91">
        <v>0.32625084165153395</v>
      </c>
      <c r="L217" s="120" t="s">
        <v>324</v>
      </c>
      <c r="M217" s="89"/>
      <c r="N217" s="120" t="s">
        <v>324</v>
      </c>
      <c r="O217" s="89"/>
      <c r="P217" s="120" t="s">
        <v>324</v>
      </c>
      <c r="Q217" s="89"/>
      <c r="R217" s="120" t="s">
        <v>324</v>
      </c>
      <c r="S217" s="89"/>
      <c r="T217" s="120" t="s">
        <v>324</v>
      </c>
      <c r="U217" s="89"/>
      <c r="V217" s="120" t="s">
        <v>324</v>
      </c>
      <c r="W217" s="91">
        <f>AVERAGE(G217,I217,K217,M217)</f>
        <v>0.7856795950948167</v>
      </c>
      <c r="X217" s="89"/>
      <c r="Y217" s="89"/>
      <c r="Z217" s="89"/>
      <c r="AA217" s="89"/>
      <c r="AB217" s="88">
        <v>0.7856795950948167</v>
      </c>
      <c r="AC217"/>
      <c r="AD217"/>
      <c r="AE217"/>
    </row>
    <row r="218" spans="2:31" s="88" customFormat="1" ht="12.75">
      <c r="B218" s="88" t="s">
        <v>105</v>
      </c>
      <c r="C218" s="88" t="s">
        <v>423</v>
      </c>
      <c r="D218" s="88" t="s">
        <v>57</v>
      </c>
      <c r="E218" s="88" t="s">
        <v>15</v>
      </c>
      <c r="F218" s="120" t="s">
        <v>324</v>
      </c>
      <c r="G218" s="91"/>
      <c r="H218" s="123" t="s">
        <v>324</v>
      </c>
      <c r="I218" s="91"/>
      <c r="J218" s="123" t="s">
        <v>324</v>
      </c>
      <c r="K218" s="91"/>
      <c r="L218" s="120" t="s">
        <v>324</v>
      </c>
      <c r="M218" s="91">
        <v>0.09330795779806811</v>
      </c>
      <c r="N218" s="123" t="s">
        <v>324</v>
      </c>
      <c r="O218" s="91">
        <v>0.006682987472278854</v>
      </c>
      <c r="P218" s="123" t="s">
        <v>102</v>
      </c>
      <c r="Q218" s="91">
        <v>1.6176898599454868</v>
      </c>
      <c r="R218" s="120" t="s">
        <v>324</v>
      </c>
      <c r="S218" s="89"/>
      <c r="T218" s="120" t="s">
        <v>324</v>
      </c>
      <c r="U218" s="89"/>
      <c r="V218" s="120" t="s">
        <v>324</v>
      </c>
      <c r="W218" s="91">
        <f aca="true" t="shared" si="4" ref="W218:W226">AVERAGE(M218,O218,Q218)</f>
        <v>0.5725602684052779</v>
      </c>
      <c r="X218" s="89"/>
      <c r="Y218" s="89"/>
      <c r="Z218" s="89"/>
      <c r="AA218" s="89"/>
      <c r="AB218" s="88">
        <v>0.5725602684052779</v>
      </c>
      <c r="AC218"/>
      <c r="AD218"/>
      <c r="AE218"/>
    </row>
    <row r="219" spans="2:31" s="88" customFormat="1" ht="12.75">
      <c r="B219" s="88" t="s">
        <v>84</v>
      </c>
      <c r="C219" s="88" t="s">
        <v>423</v>
      </c>
      <c r="D219" s="88" t="s">
        <v>57</v>
      </c>
      <c r="E219" s="88" t="s">
        <v>15</v>
      </c>
      <c r="F219" s="120" t="s">
        <v>324</v>
      </c>
      <c r="G219" s="91"/>
      <c r="H219" s="123" t="s">
        <v>324</v>
      </c>
      <c r="I219" s="91"/>
      <c r="J219" s="123" t="s">
        <v>324</v>
      </c>
      <c r="K219" s="91"/>
      <c r="L219" s="120" t="s">
        <v>102</v>
      </c>
      <c r="M219" s="91">
        <v>0.3483497091127877</v>
      </c>
      <c r="N219" s="123" t="s">
        <v>102</v>
      </c>
      <c r="O219" s="91">
        <v>0.37424729844761584</v>
      </c>
      <c r="P219" s="123" t="s">
        <v>102</v>
      </c>
      <c r="Q219" s="91">
        <v>0.3697576822732541</v>
      </c>
      <c r="R219" s="120" t="s">
        <v>324</v>
      </c>
      <c r="S219" s="89"/>
      <c r="T219" s="120" t="s">
        <v>324</v>
      </c>
      <c r="U219" s="89"/>
      <c r="V219" s="120">
        <v>100</v>
      </c>
      <c r="W219" s="91">
        <f t="shared" si="4"/>
        <v>0.3641182299445525</v>
      </c>
      <c r="X219" s="89"/>
      <c r="Y219" s="89"/>
      <c r="Z219" s="89"/>
      <c r="AA219" s="89"/>
      <c r="AB219" s="88">
        <v>0.3641182299445525</v>
      </c>
      <c r="AC219"/>
      <c r="AD219"/>
      <c r="AE219"/>
    </row>
    <row r="220" spans="2:31" s="88" customFormat="1" ht="12.75">
      <c r="B220" s="88" t="s">
        <v>106</v>
      </c>
      <c r="C220" s="88" t="s">
        <v>423</v>
      </c>
      <c r="D220" s="88" t="s">
        <v>57</v>
      </c>
      <c r="E220" s="88" t="s">
        <v>15</v>
      </c>
      <c r="F220" s="120" t="s">
        <v>324</v>
      </c>
      <c r="G220" s="91"/>
      <c r="H220" s="123" t="s">
        <v>324</v>
      </c>
      <c r="I220" s="91"/>
      <c r="J220" s="123" t="s">
        <v>324</v>
      </c>
      <c r="K220" s="91"/>
      <c r="L220" s="120" t="s">
        <v>324</v>
      </c>
      <c r="M220" s="91">
        <v>1.8661591559613624</v>
      </c>
      <c r="N220" s="123" t="s">
        <v>324</v>
      </c>
      <c r="O220" s="91">
        <v>1.8044066175153</v>
      </c>
      <c r="P220" s="123" t="s">
        <v>324</v>
      </c>
      <c r="Q220" s="91">
        <v>1.7827602538174747</v>
      </c>
      <c r="R220" s="120" t="s">
        <v>324</v>
      </c>
      <c r="S220" s="89"/>
      <c r="T220" s="120" t="s">
        <v>324</v>
      </c>
      <c r="U220" s="89"/>
      <c r="V220" s="120" t="s">
        <v>324</v>
      </c>
      <c r="W220" s="91">
        <f t="shared" si="4"/>
        <v>1.8177753424313792</v>
      </c>
      <c r="X220" s="89"/>
      <c r="Y220" s="89"/>
      <c r="Z220" s="89"/>
      <c r="AA220" s="89"/>
      <c r="AB220" s="88">
        <v>1.8177753424313792</v>
      </c>
      <c r="AC220"/>
      <c r="AD220"/>
      <c r="AE220"/>
    </row>
    <row r="221" spans="2:31" s="88" customFormat="1" ht="12.75">
      <c r="B221" s="88" t="s">
        <v>145</v>
      </c>
      <c r="C221" s="88" t="s">
        <v>423</v>
      </c>
      <c r="D221" s="88" t="s">
        <v>57</v>
      </c>
      <c r="E221" s="88" t="s">
        <v>15</v>
      </c>
      <c r="F221" s="120" t="s">
        <v>324</v>
      </c>
      <c r="G221" s="91"/>
      <c r="H221" s="123" t="s">
        <v>324</v>
      </c>
      <c r="I221" s="91"/>
      <c r="J221" s="123" t="s">
        <v>324</v>
      </c>
      <c r="K221" s="91"/>
      <c r="L221" s="120" t="s">
        <v>324</v>
      </c>
      <c r="M221" s="91">
        <v>1.5675736910075444</v>
      </c>
      <c r="N221" s="123" t="s">
        <v>324</v>
      </c>
      <c r="O221" s="91">
        <v>0.7484945968952317</v>
      </c>
      <c r="P221" s="123" t="s">
        <v>324</v>
      </c>
      <c r="Q221" s="91">
        <v>1.069656152290485</v>
      </c>
      <c r="R221" s="120" t="s">
        <v>324</v>
      </c>
      <c r="S221" s="89"/>
      <c r="T221" s="120" t="s">
        <v>324</v>
      </c>
      <c r="U221" s="89"/>
      <c r="V221" s="120" t="s">
        <v>324</v>
      </c>
      <c r="W221" s="91">
        <f t="shared" si="4"/>
        <v>1.1285748133977538</v>
      </c>
      <c r="X221" s="89"/>
      <c r="Y221" s="89"/>
      <c r="Z221" s="89"/>
      <c r="AA221" s="89"/>
      <c r="AB221" s="88">
        <v>1.1285748133977538</v>
      </c>
      <c r="AC221"/>
      <c r="AD221"/>
      <c r="AE221"/>
    </row>
    <row r="222" spans="2:31" s="88" customFormat="1" ht="12.75">
      <c r="B222" s="88" t="s">
        <v>83</v>
      </c>
      <c r="C222" s="88" t="s">
        <v>423</v>
      </c>
      <c r="D222" s="88" t="s">
        <v>57</v>
      </c>
      <c r="E222" s="88" t="s">
        <v>15</v>
      </c>
      <c r="F222" s="120" t="s">
        <v>324</v>
      </c>
      <c r="G222" s="91"/>
      <c r="H222" s="123" t="s">
        <v>324</v>
      </c>
      <c r="I222" s="91"/>
      <c r="J222" s="123" t="s">
        <v>324</v>
      </c>
      <c r="K222" s="91"/>
      <c r="L222" s="120" t="s">
        <v>324</v>
      </c>
      <c r="M222" s="91">
        <v>8.59677317846201</v>
      </c>
      <c r="N222" s="123" t="s">
        <v>324</v>
      </c>
      <c r="O222" s="91">
        <v>5.6270754516588</v>
      </c>
      <c r="P222" s="123" t="s">
        <v>324</v>
      </c>
      <c r="Q222" s="91">
        <v>2.0600785155224153</v>
      </c>
      <c r="R222" s="120" t="s">
        <v>324</v>
      </c>
      <c r="S222" s="89"/>
      <c r="T222" s="120" t="s">
        <v>324</v>
      </c>
      <c r="U222" s="89"/>
      <c r="V222" s="120" t="s">
        <v>324</v>
      </c>
      <c r="W222" s="91">
        <f t="shared" si="4"/>
        <v>5.427975715214409</v>
      </c>
      <c r="X222" s="89"/>
      <c r="Y222" s="89"/>
      <c r="Z222" s="89"/>
      <c r="AA222" s="89"/>
      <c r="AB222" s="88">
        <v>5.427975715214409</v>
      </c>
      <c r="AC222"/>
      <c r="AD222"/>
      <c r="AE222"/>
    </row>
    <row r="223" spans="2:31" s="88" customFormat="1" ht="12.75">
      <c r="B223" s="88" t="s">
        <v>85</v>
      </c>
      <c r="C223" s="88" t="s">
        <v>423</v>
      </c>
      <c r="D223" s="88" t="s">
        <v>57</v>
      </c>
      <c r="E223" s="88" t="s">
        <v>15</v>
      </c>
      <c r="F223" s="120" t="s">
        <v>324</v>
      </c>
      <c r="G223" s="91"/>
      <c r="H223" s="123" t="s">
        <v>324</v>
      </c>
      <c r="I223" s="91"/>
      <c r="J223" s="123" t="s">
        <v>324</v>
      </c>
      <c r="K223" s="91"/>
      <c r="L223" s="120" t="s">
        <v>324</v>
      </c>
      <c r="M223" s="91">
        <v>1.349855122812052</v>
      </c>
      <c r="N223" s="123" t="s">
        <v>324</v>
      </c>
      <c r="O223" s="91">
        <v>7.357969206979018</v>
      </c>
      <c r="P223" s="123" t="s">
        <v>324</v>
      </c>
      <c r="Q223" s="91">
        <v>8.497823876529964</v>
      </c>
      <c r="R223" s="120" t="s">
        <v>324</v>
      </c>
      <c r="S223" s="89"/>
      <c r="T223" s="120" t="s">
        <v>324</v>
      </c>
      <c r="U223" s="89"/>
      <c r="V223" s="120" t="s">
        <v>324</v>
      </c>
      <c r="W223" s="91">
        <f t="shared" si="4"/>
        <v>5.735216068773678</v>
      </c>
      <c r="X223" s="89"/>
      <c r="Y223" s="89"/>
      <c r="Z223" s="89"/>
      <c r="AA223" s="89"/>
      <c r="AB223" s="88">
        <v>5.735216068773678</v>
      </c>
      <c r="AC223"/>
      <c r="AD223"/>
      <c r="AE223"/>
    </row>
    <row r="224" spans="2:31" s="88" customFormat="1" ht="12.75">
      <c r="B224" s="88" t="s">
        <v>107</v>
      </c>
      <c r="C224" s="88" t="s">
        <v>423</v>
      </c>
      <c r="D224" s="88" t="s">
        <v>57</v>
      </c>
      <c r="E224" s="88" t="s">
        <v>15</v>
      </c>
      <c r="F224" s="120" t="s">
        <v>324</v>
      </c>
      <c r="G224" s="91"/>
      <c r="H224" s="123" t="s">
        <v>324</v>
      </c>
      <c r="I224" s="91"/>
      <c r="J224" s="123" t="s">
        <v>324</v>
      </c>
      <c r="K224" s="91"/>
      <c r="L224" s="120" t="s">
        <v>324</v>
      </c>
      <c r="M224" s="91">
        <v>6.2205305198712</v>
      </c>
      <c r="N224" s="123" t="s">
        <v>324</v>
      </c>
      <c r="O224" s="91">
        <v>3.4083236108622152</v>
      </c>
      <c r="P224" s="123" t="s">
        <v>324</v>
      </c>
      <c r="Q224" s="91">
        <v>1.7827602538174747</v>
      </c>
      <c r="R224" s="120" t="s">
        <v>324</v>
      </c>
      <c r="S224" s="89"/>
      <c r="T224" s="120" t="s">
        <v>324</v>
      </c>
      <c r="U224" s="89"/>
      <c r="V224" s="120" t="s">
        <v>324</v>
      </c>
      <c r="W224" s="91">
        <f t="shared" si="4"/>
        <v>3.8038714615169638</v>
      </c>
      <c r="X224" s="89"/>
      <c r="Y224" s="89"/>
      <c r="Z224" s="89"/>
      <c r="AA224" s="89"/>
      <c r="AB224" s="88">
        <v>3.8038714615169638</v>
      </c>
      <c r="AC224"/>
      <c r="AD224"/>
      <c r="AE224"/>
    </row>
    <row r="225" spans="2:31" s="88" customFormat="1" ht="12.75">
      <c r="B225" s="88" t="s">
        <v>58</v>
      </c>
      <c r="C225" s="88" t="s">
        <v>423</v>
      </c>
      <c r="D225" s="88" t="s">
        <v>57</v>
      </c>
      <c r="E225" s="88" t="s">
        <v>15</v>
      </c>
      <c r="F225" s="120"/>
      <c r="G225" s="91"/>
      <c r="H225" s="123"/>
      <c r="I225" s="91"/>
      <c r="J225" s="123"/>
      <c r="K225" s="91"/>
      <c r="L225" s="120"/>
      <c r="M225" s="91">
        <f>M222+M220</f>
        <v>10.462932334423373</v>
      </c>
      <c r="N225" s="123"/>
      <c r="O225" s="91">
        <f>O222+O220</f>
        <v>7.4314820691741</v>
      </c>
      <c r="P225" s="123"/>
      <c r="Q225" s="91">
        <f>Q222+Q220</f>
        <v>3.84283876933989</v>
      </c>
      <c r="R225" s="120"/>
      <c r="S225" s="89"/>
      <c r="T225" s="120"/>
      <c r="U225" s="89"/>
      <c r="V225" s="120"/>
      <c r="W225" s="91">
        <f t="shared" si="4"/>
        <v>7.245751057645788</v>
      </c>
      <c r="X225" s="89"/>
      <c r="Y225" s="89"/>
      <c r="Z225" s="89"/>
      <c r="AA225" s="89"/>
      <c r="AC225"/>
      <c r="AD225"/>
      <c r="AE225"/>
    </row>
    <row r="226" spans="2:31" s="88" customFormat="1" ht="12.75">
      <c r="B226" s="88" t="s">
        <v>59</v>
      </c>
      <c r="C226" s="88" t="s">
        <v>423</v>
      </c>
      <c r="D226" s="88" t="s">
        <v>57</v>
      </c>
      <c r="E226" s="88" t="s">
        <v>15</v>
      </c>
      <c r="F226" s="120"/>
      <c r="G226" s="91"/>
      <c r="H226" s="123"/>
      <c r="I226" s="91"/>
      <c r="J226" s="123"/>
      <c r="K226" s="91"/>
      <c r="L226" s="120">
        <f>M219/M226*100</f>
        <v>17.337461300309602</v>
      </c>
      <c r="M226" s="91">
        <f>M219+M218+M221</f>
        <v>2.0092313579184</v>
      </c>
      <c r="N226" s="120">
        <f>O219/O226*100</f>
        <v>33.13609467455622</v>
      </c>
      <c r="O226" s="91">
        <f>O219+O218+O221</f>
        <v>1.1294248828151263</v>
      </c>
      <c r="P226" s="124">
        <f>(Q218+Q219)/Q226*100</f>
        <v>65.01079913606912</v>
      </c>
      <c r="Q226" s="91">
        <f>Q219+Q218+Q221</f>
        <v>3.057103694509226</v>
      </c>
      <c r="R226" s="120"/>
      <c r="S226" s="89"/>
      <c r="T226" s="120"/>
      <c r="U226" s="89"/>
      <c r="V226" s="120">
        <f>(L226*M226+N226*O226+P226*R226)/(3*W226)</f>
        <v>11.662766393677131</v>
      </c>
      <c r="W226" s="91">
        <f t="shared" si="4"/>
        <v>2.065253311747584</v>
      </c>
      <c r="X226" s="89"/>
      <c r="Y226" s="89"/>
      <c r="Z226" s="89"/>
      <c r="AA226" s="89"/>
      <c r="AC226"/>
      <c r="AD226"/>
      <c r="AE226"/>
    </row>
    <row r="227" spans="6:31" s="88" customFormat="1" ht="12.75">
      <c r="F227" s="120"/>
      <c r="G227" s="91"/>
      <c r="H227" s="123"/>
      <c r="I227" s="91"/>
      <c r="J227" s="123"/>
      <c r="K227" s="91"/>
      <c r="L227" s="120"/>
      <c r="M227" s="91"/>
      <c r="N227" s="123"/>
      <c r="O227" s="91"/>
      <c r="P227" s="123"/>
      <c r="Q227" s="91"/>
      <c r="R227" s="120"/>
      <c r="S227" s="89"/>
      <c r="T227" s="120"/>
      <c r="U227" s="89"/>
      <c r="V227" s="120"/>
      <c r="W227" s="91"/>
      <c r="X227" s="89"/>
      <c r="Y227" s="89"/>
      <c r="Z227" s="89"/>
      <c r="AA227" s="89"/>
      <c r="AC227"/>
      <c r="AD227"/>
      <c r="AE227"/>
    </row>
    <row r="228" spans="2:57" s="92" customFormat="1" ht="12.75">
      <c r="B228" s="92" t="s">
        <v>327</v>
      </c>
      <c r="C228" s="92" t="s">
        <v>421</v>
      </c>
      <c r="D228" s="92" t="s">
        <v>18</v>
      </c>
      <c r="F228" s="99"/>
      <c r="G228" s="93">
        <v>99.9995</v>
      </c>
      <c r="H228" s="96"/>
      <c r="I228" s="93">
        <v>99.9996</v>
      </c>
      <c r="J228" s="96"/>
      <c r="K228" s="93">
        <v>99.9969</v>
      </c>
      <c r="L228" s="96"/>
      <c r="M228" s="93"/>
      <c r="N228" s="96"/>
      <c r="O228" s="93"/>
      <c r="P228" s="96"/>
      <c r="Q228" s="93"/>
      <c r="R228" s="96"/>
      <c r="S228" s="93"/>
      <c r="T228" s="96"/>
      <c r="U228" s="93"/>
      <c r="V228" s="96"/>
      <c r="W228" s="93"/>
      <c r="X228" s="93"/>
      <c r="Y228" s="93"/>
      <c r="Z228" s="93"/>
      <c r="AA228" s="93"/>
      <c r="AB228" s="93"/>
      <c r="AC228"/>
      <c r="AD228"/>
      <c r="AE228"/>
      <c r="AF228" s="93"/>
      <c r="AG228" s="93"/>
      <c r="AH228" s="93"/>
      <c r="AI228" s="93"/>
      <c r="AJ228" s="93"/>
      <c r="AP228" s="93"/>
      <c r="AQ228" s="93"/>
      <c r="AR228" s="93"/>
      <c r="AS228" s="93"/>
      <c r="AT228" s="93"/>
      <c r="AU228" s="93"/>
      <c r="AV228" s="93"/>
      <c r="AW228" s="93"/>
      <c r="AX228" s="93"/>
      <c r="AY228" s="93"/>
      <c r="AZ228" s="93"/>
      <c r="BA228" s="93"/>
      <c r="BB228" s="93"/>
      <c r="BC228" s="93"/>
      <c r="BD228" s="93"/>
      <c r="BE228" s="93"/>
    </row>
    <row r="229" spans="6:67" s="88" customFormat="1" ht="12.75">
      <c r="F229" s="121"/>
      <c r="G229" s="91"/>
      <c r="H229" s="123"/>
      <c r="I229" s="91"/>
      <c r="J229" s="123"/>
      <c r="K229" s="91"/>
      <c r="L229" s="123"/>
      <c r="M229" s="91"/>
      <c r="N229" s="123"/>
      <c r="O229" s="91"/>
      <c r="P229" s="123"/>
      <c r="Q229" s="91"/>
      <c r="R229" s="123"/>
      <c r="S229" s="91"/>
      <c r="T229" s="123"/>
      <c r="U229" s="91"/>
      <c r="V229" s="123"/>
      <c r="W229" s="91"/>
      <c r="X229" s="91"/>
      <c r="Y229" s="91"/>
      <c r="Z229" s="91"/>
      <c r="AA229" s="91"/>
      <c r="AB229" s="91"/>
      <c r="AC229"/>
      <c r="AD229"/>
      <c r="AE229"/>
      <c r="AF229" s="91"/>
      <c r="AG229" s="91"/>
      <c r="AH229" s="91"/>
      <c r="AI229" s="91"/>
      <c r="AJ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</row>
    <row r="230" spans="2:67" s="88" customFormat="1" ht="12.75">
      <c r="B230" s="88" t="s">
        <v>89</v>
      </c>
      <c r="C230" s="88" t="s">
        <v>333</v>
      </c>
      <c r="D230" s="92" t="s">
        <v>421</v>
      </c>
      <c r="F230" s="121"/>
      <c r="G230" s="91"/>
      <c r="H230" s="123"/>
      <c r="I230" s="91"/>
      <c r="J230" s="123"/>
      <c r="K230" s="91"/>
      <c r="L230" s="123"/>
      <c r="M230" s="91"/>
      <c r="N230" s="123"/>
      <c r="O230" s="91"/>
      <c r="P230" s="123"/>
      <c r="Q230" s="91"/>
      <c r="R230" s="123"/>
      <c r="S230" s="91"/>
      <c r="T230" s="123"/>
      <c r="U230" s="91"/>
      <c r="V230" s="123"/>
      <c r="W230" s="91"/>
      <c r="X230" s="91"/>
      <c r="Y230" s="91"/>
      <c r="Z230" s="91"/>
      <c r="AA230" s="91"/>
      <c r="AB230" s="91"/>
      <c r="AC230"/>
      <c r="AD230"/>
      <c r="AE230"/>
      <c r="AF230" s="91"/>
      <c r="AG230" s="91"/>
      <c r="AH230" s="91"/>
      <c r="AI230" s="91"/>
      <c r="AJ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</row>
    <row r="231" spans="2:67" s="88" customFormat="1" ht="12.75">
      <c r="B231" s="8" t="s">
        <v>82</v>
      </c>
      <c r="C231" s="8"/>
      <c r="D231" s="8" t="s">
        <v>17</v>
      </c>
      <c r="F231" s="121"/>
      <c r="G231" s="91">
        <v>57113</v>
      </c>
      <c r="H231" s="123"/>
      <c r="I231" s="91">
        <v>54071</v>
      </c>
      <c r="J231" s="123"/>
      <c r="K231" s="91">
        <v>53611</v>
      </c>
      <c r="L231" s="123"/>
      <c r="M231" s="91">
        <v>57459</v>
      </c>
      <c r="N231" s="123"/>
      <c r="P231" s="123"/>
      <c r="Q231" s="91"/>
      <c r="R231" s="123"/>
      <c r="S231" s="91"/>
      <c r="T231" s="123"/>
      <c r="U231" s="91"/>
      <c r="V231" s="123"/>
      <c r="W231" s="91">
        <v>54671</v>
      </c>
      <c r="X231" s="91"/>
      <c r="Y231" s="91"/>
      <c r="Z231" s="91"/>
      <c r="AA231" s="91"/>
      <c r="AC231"/>
      <c r="AD231"/>
      <c r="AE23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</row>
    <row r="232" spans="2:67" s="88" customFormat="1" ht="12.75">
      <c r="B232" s="8" t="s">
        <v>87</v>
      </c>
      <c r="C232" s="8"/>
      <c r="D232" s="8" t="s">
        <v>18</v>
      </c>
      <c r="F232" s="121"/>
      <c r="G232" s="91">
        <v>13.42</v>
      </c>
      <c r="H232" s="123"/>
      <c r="I232" s="91">
        <v>13.09</v>
      </c>
      <c r="J232" s="123"/>
      <c r="K232" s="91">
        <v>13.36</v>
      </c>
      <c r="L232" s="123"/>
      <c r="M232" s="91">
        <v>13.52</v>
      </c>
      <c r="N232" s="123"/>
      <c r="P232" s="123"/>
      <c r="Q232" s="91"/>
      <c r="R232" s="123"/>
      <c r="S232" s="91"/>
      <c r="T232" s="123"/>
      <c r="U232" s="91"/>
      <c r="V232" s="123"/>
      <c r="W232" s="91">
        <v>13.17</v>
      </c>
      <c r="X232" s="91"/>
      <c r="Y232" s="91"/>
      <c r="Z232" s="91"/>
      <c r="AA232" s="91"/>
      <c r="AC232"/>
      <c r="AD232"/>
      <c r="AE232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</row>
    <row r="233" spans="2:67" s="88" customFormat="1" ht="12.75">
      <c r="B233" s="8" t="s">
        <v>88</v>
      </c>
      <c r="C233" s="8"/>
      <c r="D233" s="8" t="s">
        <v>18</v>
      </c>
      <c r="F233" s="121"/>
      <c r="G233" s="91">
        <v>27</v>
      </c>
      <c r="H233" s="123"/>
      <c r="I233" s="91">
        <v>29</v>
      </c>
      <c r="J233" s="123"/>
      <c r="K233" s="91">
        <v>29</v>
      </c>
      <c r="L233" s="123"/>
      <c r="M233" s="91">
        <v>26.8</v>
      </c>
      <c r="N233" s="123"/>
      <c r="P233" s="123"/>
      <c r="Q233" s="91"/>
      <c r="R233" s="123"/>
      <c r="S233" s="91"/>
      <c r="T233" s="123"/>
      <c r="U233" s="91"/>
      <c r="V233" s="123"/>
      <c r="W233" s="91">
        <v>30.6</v>
      </c>
      <c r="X233" s="91"/>
      <c r="Y233" s="91"/>
      <c r="Z233" s="91"/>
      <c r="AA233" s="91"/>
      <c r="AC233"/>
      <c r="AD233"/>
      <c r="AE233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</row>
    <row r="234" spans="2:67" s="88" customFormat="1" ht="12.75">
      <c r="B234" s="8" t="s">
        <v>81</v>
      </c>
      <c r="C234" s="8"/>
      <c r="D234" s="8" t="s">
        <v>19</v>
      </c>
      <c r="F234" s="121"/>
      <c r="G234" s="91">
        <v>192.3</v>
      </c>
      <c r="H234" s="123"/>
      <c r="I234" s="91">
        <v>194.7</v>
      </c>
      <c r="J234" s="123"/>
      <c r="K234" s="91">
        <v>194</v>
      </c>
      <c r="L234" s="123"/>
      <c r="M234" s="91">
        <v>190.7</v>
      </c>
      <c r="N234" s="123"/>
      <c r="P234" s="123"/>
      <c r="Q234" s="91"/>
      <c r="R234" s="123"/>
      <c r="S234" s="91"/>
      <c r="T234" s="123"/>
      <c r="U234" s="91"/>
      <c r="V234" s="123"/>
      <c r="W234" s="91">
        <v>195.1</v>
      </c>
      <c r="X234" s="91"/>
      <c r="Y234" s="91"/>
      <c r="Z234" s="91"/>
      <c r="AA234" s="91"/>
      <c r="AC234"/>
      <c r="AD234"/>
      <c r="AE234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</row>
    <row r="235" spans="6:67" s="88" customFormat="1" ht="12.75">
      <c r="F235" s="121"/>
      <c r="G235" s="91"/>
      <c r="H235" s="123"/>
      <c r="I235" s="91"/>
      <c r="J235" s="123"/>
      <c r="K235" s="91"/>
      <c r="L235" s="123"/>
      <c r="M235" s="91"/>
      <c r="N235" s="123"/>
      <c r="O235" s="91"/>
      <c r="P235" s="123"/>
      <c r="Q235" s="91"/>
      <c r="R235" s="123"/>
      <c r="S235" s="91"/>
      <c r="T235" s="123"/>
      <c r="U235" s="91"/>
      <c r="V235" s="123"/>
      <c r="W235" s="91"/>
      <c r="X235" s="91"/>
      <c r="Y235" s="91"/>
      <c r="Z235" s="91"/>
      <c r="AA235" s="91"/>
      <c r="AB235" s="91"/>
      <c r="AC235"/>
      <c r="AD235"/>
      <c r="AE235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</row>
    <row r="236" spans="2:67" s="88" customFormat="1" ht="12.75">
      <c r="B236" s="88" t="s">
        <v>89</v>
      </c>
      <c r="C236" s="88" t="s">
        <v>332</v>
      </c>
      <c r="D236" s="88" t="s">
        <v>422</v>
      </c>
      <c r="F236" s="121"/>
      <c r="G236" s="91"/>
      <c r="H236" s="123"/>
      <c r="I236" s="91"/>
      <c r="J236" s="123"/>
      <c r="K236" s="91"/>
      <c r="L236" s="123"/>
      <c r="M236" s="91"/>
      <c r="N236" s="123"/>
      <c r="O236" s="91"/>
      <c r="P236" s="123"/>
      <c r="Q236" s="91"/>
      <c r="R236" s="123"/>
      <c r="S236" s="91"/>
      <c r="T236" s="123"/>
      <c r="U236" s="91"/>
      <c r="V236" s="123"/>
      <c r="W236" s="91"/>
      <c r="X236" s="91"/>
      <c r="Y236" s="91"/>
      <c r="Z236" s="91"/>
      <c r="AA236" s="91"/>
      <c r="AB236" s="91"/>
      <c r="AC236"/>
      <c r="AD236"/>
      <c r="AE236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</row>
    <row r="237" spans="2:67" s="88" customFormat="1" ht="12.75">
      <c r="B237" s="8" t="s">
        <v>82</v>
      </c>
      <c r="C237" s="8"/>
      <c r="D237" s="8" t="s">
        <v>17</v>
      </c>
      <c r="F237" s="121"/>
      <c r="G237" s="91">
        <v>56013</v>
      </c>
      <c r="H237" s="123"/>
      <c r="I237" s="91">
        <v>55969</v>
      </c>
      <c r="J237" s="123"/>
      <c r="K237" s="91">
        <v>53502</v>
      </c>
      <c r="L237" s="123"/>
      <c r="M237" s="91"/>
      <c r="N237" s="123"/>
      <c r="O237" s="91"/>
      <c r="P237" s="123"/>
      <c r="Q237" s="91"/>
      <c r="R237" s="123"/>
      <c r="S237" s="91"/>
      <c r="T237" s="123"/>
      <c r="U237" s="91"/>
      <c r="V237" s="123"/>
      <c r="W237" s="91"/>
      <c r="X237" s="91"/>
      <c r="Y237" s="91"/>
      <c r="Z237" s="91"/>
      <c r="AA237" s="91"/>
      <c r="AB237" s="91"/>
      <c r="AC237"/>
      <c r="AD237"/>
      <c r="AE237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</row>
    <row r="238" spans="2:67" s="88" customFormat="1" ht="12.75">
      <c r="B238" s="8" t="s">
        <v>87</v>
      </c>
      <c r="C238" s="8"/>
      <c r="D238" s="8" t="s">
        <v>18</v>
      </c>
      <c r="F238" s="121"/>
      <c r="G238" s="91">
        <v>14</v>
      </c>
      <c r="H238" s="123"/>
      <c r="I238" s="91">
        <v>14.05</v>
      </c>
      <c r="J238" s="123"/>
      <c r="K238" s="91">
        <v>13.92</v>
      </c>
      <c r="L238" s="123"/>
      <c r="M238" s="91"/>
      <c r="N238" s="123"/>
      <c r="O238" s="91"/>
      <c r="P238" s="123"/>
      <c r="Q238" s="91"/>
      <c r="R238" s="123"/>
      <c r="S238" s="91"/>
      <c r="T238" s="123"/>
      <c r="U238" s="91"/>
      <c r="V238" s="123"/>
      <c r="W238" s="91"/>
      <c r="X238" s="91"/>
      <c r="Y238" s="91"/>
      <c r="Z238" s="91"/>
      <c r="AA238" s="91"/>
      <c r="AB238" s="91"/>
      <c r="AC238"/>
      <c r="AD238"/>
      <c r="AE238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</row>
    <row r="239" spans="2:67" s="88" customFormat="1" ht="12.75">
      <c r="B239" s="8" t="s">
        <v>88</v>
      </c>
      <c r="C239" s="8"/>
      <c r="D239" s="8" t="s">
        <v>18</v>
      </c>
      <c r="F239" s="121"/>
      <c r="G239" s="91">
        <v>25.5</v>
      </c>
      <c r="H239" s="123"/>
      <c r="I239" s="91">
        <v>26</v>
      </c>
      <c r="J239" s="123"/>
      <c r="K239" s="91">
        <v>26.9</v>
      </c>
      <c r="L239" s="123"/>
      <c r="M239" s="91"/>
      <c r="N239" s="123"/>
      <c r="O239" s="91"/>
      <c r="P239" s="123"/>
      <c r="Q239" s="91"/>
      <c r="R239" s="123"/>
      <c r="S239" s="91"/>
      <c r="T239" s="123"/>
      <c r="U239" s="91"/>
      <c r="V239" s="123"/>
      <c r="W239" s="91"/>
      <c r="X239" s="91"/>
      <c r="Y239" s="91"/>
      <c r="Z239" s="91"/>
      <c r="AA239" s="91"/>
      <c r="AB239" s="91"/>
      <c r="AC239"/>
      <c r="AD239"/>
      <c r="AE239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</row>
    <row r="240" spans="2:67" s="88" customFormat="1" ht="12.75">
      <c r="B240" s="8" t="s">
        <v>81</v>
      </c>
      <c r="C240" s="8"/>
      <c r="D240" s="8" t="s">
        <v>19</v>
      </c>
      <c r="F240" s="121"/>
      <c r="G240" s="91">
        <v>192.2</v>
      </c>
      <c r="H240" s="123"/>
      <c r="I240" s="91">
        <v>192.5</v>
      </c>
      <c r="J240" s="123"/>
      <c r="K240" s="91">
        <v>193.5</v>
      </c>
      <c r="L240" s="123"/>
      <c r="M240" s="91"/>
      <c r="N240" s="123"/>
      <c r="O240" s="91"/>
      <c r="P240" s="123"/>
      <c r="Q240" s="91"/>
      <c r="R240" s="123"/>
      <c r="S240" s="91"/>
      <c r="T240" s="123"/>
      <c r="U240" s="91"/>
      <c r="V240" s="123"/>
      <c r="W240" s="91"/>
      <c r="X240" s="91"/>
      <c r="Y240" s="91"/>
      <c r="Z240" s="91"/>
      <c r="AA240" s="91"/>
      <c r="AB240" s="91"/>
      <c r="AC240"/>
      <c r="AD240"/>
      <c r="AE240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</row>
    <row r="241" spans="6:67" s="88" customFormat="1" ht="12.75">
      <c r="F241" s="121"/>
      <c r="G241" s="91"/>
      <c r="H241" s="123"/>
      <c r="I241" s="91"/>
      <c r="J241" s="123"/>
      <c r="K241" s="91"/>
      <c r="L241" s="123"/>
      <c r="M241" s="91"/>
      <c r="N241" s="123"/>
      <c r="O241" s="91"/>
      <c r="P241" s="123"/>
      <c r="Q241" s="91"/>
      <c r="R241" s="123"/>
      <c r="S241" s="91"/>
      <c r="T241" s="123"/>
      <c r="U241" s="91"/>
      <c r="V241" s="123"/>
      <c r="W241" s="91"/>
      <c r="X241" s="91"/>
      <c r="Y241" s="91"/>
      <c r="Z241" s="91"/>
      <c r="AA241" s="91"/>
      <c r="AB241" s="91"/>
      <c r="AC241"/>
      <c r="AD241"/>
      <c r="AE24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</row>
    <row r="242" spans="2:67" s="88" customFormat="1" ht="12.75">
      <c r="B242" s="88" t="s">
        <v>89</v>
      </c>
      <c r="C242" s="88" t="s">
        <v>198</v>
      </c>
      <c r="D242" s="88" t="s">
        <v>423</v>
      </c>
      <c r="F242" s="121"/>
      <c r="G242" s="91"/>
      <c r="H242" s="123"/>
      <c r="I242" s="91"/>
      <c r="J242" s="123"/>
      <c r="K242" s="91"/>
      <c r="L242" s="123"/>
      <c r="M242" s="91"/>
      <c r="N242" s="123"/>
      <c r="O242" s="91"/>
      <c r="P242" s="123"/>
      <c r="Q242" s="91"/>
      <c r="R242" s="123"/>
      <c r="S242" s="91"/>
      <c r="T242" s="123"/>
      <c r="U242" s="91"/>
      <c r="V242" s="123"/>
      <c r="W242" s="91"/>
      <c r="X242" s="91"/>
      <c r="Y242" s="91"/>
      <c r="Z242" s="91"/>
      <c r="AA242" s="91"/>
      <c r="AB242" s="91"/>
      <c r="AC242"/>
      <c r="AD242"/>
      <c r="AE242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</row>
    <row r="243" spans="2:67" s="88" customFormat="1" ht="12.75">
      <c r="B243" s="8" t="s">
        <v>82</v>
      </c>
      <c r="C243" s="8"/>
      <c r="D243" s="8" t="s">
        <v>17</v>
      </c>
      <c r="F243" s="121"/>
      <c r="G243" s="91"/>
      <c r="H243" s="123"/>
      <c r="I243" s="91"/>
      <c r="J243" s="123"/>
      <c r="K243" s="91"/>
      <c r="L243" s="123"/>
      <c r="M243" s="91">
        <v>55864</v>
      </c>
      <c r="N243" s="123"/>
      <c r="O243" s="91">
        <v>55451</v>
      </c>
      <c r="P243" s="123"/>
      <c r="Q243" s="91">
        <v>55431</v>
      </c>
      <c r="R243" s="123"/>
      <c r="S243" s="91"/>
      <c r="T243" s="123"/>
      <c r="U243" s="91"/>
      <c r="V243" s="123"/>
      <c r="W243" s="91"/>
      <c r="X243" s="91"/>
      <c r="Y243" s="91"/>
      <c r="Z243" s="91"/>
      <c r="AA243" s="91"/>
      <c r="AB243" s="91"/>
      <c r="AC243"/>
      <c r="AD243"/>
      <c r="AE243"/>
      <c r="AF243" s="91"/>
      <c r="AG243" s="91"/>
      <c r="AH243" s="91"/>
      <c r="AI243" s="91"/>
      <c r="AJ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</row>
    <row r="244" spans="2:67" s="88" customFormat="1" ht="12.75">
      <c r="B244" s="8" t="s">
        <v>87</v>
      </c>
      <c r="C244" s="8"/>
      <c r="D244" s="8" t="s">
        <v>18</v>
      </c>
      <c r="F244" s="121"/>
      <c r="G244" s="91"/>
      <c r="H244" s="123"/>
      <c r="I244" s="91"/>
      <c r="J244" s="123"/>
      <c r="K244" s="91"/>
      <c r="L244" s="123"/>
      <c r="M244" s="91">
        <v>12.92</v>
      </c>
      <c r="N244" s="123"/>
      <c r="O244" s="91">
        <v>13.42</v>
      </c>
      <c r="P244" s="123"/>
      <c r="Q244" s="91">
        <v>13.23</v>
      </c>
      <c r="R244" s="123"/>
      <c r="S244" s="91"/>
      <c r="T244" s="123"/>
      <c r="U244" s="91"/>
      <c r="V244" s="123"/>
      <c r="W244" s="91"/>
      <c r="X244" s="91"/>
      <c r="Y244" s="91"/>
      <c r="Z244" s="91"/>
      <c r="AA244" s="91"/>
      <c r="AB244" s="91"/>
      <c r="AC244"/>
      <c r="AD244"/>
      <c r="AE244"/>
      <c r="AF244" s="91"/>
      <c r="AG244" s="91"/>
      <c r="AH244" s="91"/>
      <c r="AI244" s="91"/>
      <c r="AJ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</row>
    <row r="245" spans="2:67" s="88" customFormat="1" ht="12.75">
      <c r="B245" s="8" t="s">
        <v>88</v>
      </c>
      <c r="C245" s="8"/>
      <c r="D245" s="8" t="s">
        <v>18</v>
      </c>
      <c r="F245" s="121"/>
      <c r="G245" s="91"/>
      <c r="H245" s="123"/>
      <c r="I245" s="91"/>
      <c r="J245" s="123"/>
      <c r="K245" s="91"/>
      <c r="L245" s="123"/>
      <c r="M245" s="91">
        <v>29</v>
      </c>
      <c r="N245" s="123"/>
      <c r="O245" s="91">
        <v>28</v>
      </c>
      <c r="P245" s="123"/>
      <c r="Q245" s="91">
        <v>29.3</v>
      </c>
      <c r="R245" s="123"/>
      <c r="S245" s="91"/>
      <c r="T245" s="123"/>
      <c r="U245" s="91"/>
      <c r="V245" s="123"/>
      <c r="W245" s="91"/>
      <c r="X245" s="91"/>
      <c r="Y245" s="91"/>
      <c r="Z245" s="91"/>
      <c r="AA245" s="91"/>
      <c r="AB245" s="91"/>
      <c r="AC245"/>
      <c r="AD245"/>
      <c r="AE245"/>
      <c r="AF245" s="91"/>
      <c r="AG245" s="91"/>
      <c r="AH245" s="91"/>
      <c r="AI245" s="91"/>
      <c r="AJ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</row>
    <row r="246" spans="2:67" s="88" customFormat="1" ht="12.75">
      <c r="B246" s="8" t="s">
        <v>81</v>
      </c>
      <c r="C246" s="8"/>
      <c r="D246" s="8" t="s">
        <v>19</v>
      </c>
      <c r="F246" s="121"/>
      <c r="G246" s="91"/>
      <c r="H246" s="123"/>
      <c r="I246" s="91"/>
      <c r="J246" s="123"/>
      <c r="K246" s="91"/>
      <c r="L246" s="123"/>
      <c r="M246" s="91">
        <v>193.8</v>
      </c>
      <c r="N246" s="123"/>
      <c r="O246" s="91">
        <v>190.1</v>
      </c>
      <c r="P246" s="123"/>
      <c r="Q246" s="91">
        <v>191.7</v>
      </c>
      <c r="R246" s="123"/>
      <c r="S246" s="91"/>
      <c r="T246" s="123"/>
      <c r="U246" s="91"/>
      <c r="V246" s="123"/>
      <c r="W246" s="91"/>
      <c r="X246" s="91"/>
      <c r="Y246" s="91"/>
      <c r="Z246" s="91"/>
      <c r="AA246" s="91"/>
      <c r="AB246" s="91"/>
      <c r="AC246"/>
      <c r="AD246"/>
      <c r="AE246"/>
      <c r="AF246" s="91"/>
      <c r="AG246" s="91"/>
      <c r="AH246" s="91"/>
      <c r="AI246" s="91"/>
      <c r="AJ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</row>
    <row r="247" spans="6:31" s="88" customFormat="1" ht="12.75">
      <c r="F247" s="120"/>
      <c r="G247" s="91"/>
      <c r="H247" s="123"/>
      <c r="I247" s="91"/>
      <c r="J247" s="123"/>
      <c r="K247" s="91"/>
      <c r="L247" s="120"/>
      <c r="M247" s="89"/>
      <c r="N247" s="120"/>
      <c r="O247" s="89"/>
      <c r="P247" s="120"/>
      <c r="Q247" s="89"/>
      <c r="R247" s="120"/>
      <c r="S247" s="89"/>
      <c r="T247" s="120"/>
      <c r="U247" s="89"/>
      <c r="V247" s="120"/>
      <c r="W247" s="89"/>
      <c r="X247" s="89"/>
      <c r="Y247" s="89"/>
      <c r="Z247" s="89"/>
      <c r="AA247" s="89"/>
      <c r="AC247"/>
      <c r="AD247"/>
      <c r="AE247"/>
    </row>
    <row r="248" spans="2:31" s="88" customFormat="1" ht="12.75">
      <c r="B248" s="88" t="s">
        <v>89</v>
      </c>
      <c r="C248" s="88" t="s">
        <v>331</v>
      </c>
      <c r="D248" s="88" t="s">
        <v>424</v>
      </c>
      <c r="F248" s="120"/>
      <c r="G248" s="91"/>
      <c r="H248" s="123"/>
      <c r="I248" s="91"/>
      <c r="J248" s="123"/>
      <c r="K248" s="91"/>
      <c r="L248" s="120"/>
      <c r="M248" s="89"/>
      <c r="N248" s="120"/>
      <c r="O248" s="89"/>
      <c r="P248" s="120"/>
      <c r="Q248" s="89"/>
      <c r="R248" s="120"/>
      <c r="S248" s="89"/>
      <c r="T248" s="120"/>
      <c r="U248" s="89"/>
      <c r="V248" s="120"/>
      <c r="W248" s="89"/>
      <c r="X248" s="89"/>
      <c r="Y248" s="89"/>
      <c r="Z248" s="89"/>
      <c r="AA248" s="89"/>
      <c r="AC248"/>
      <c r="AD248"/>
      <c r="AE248"/>
    </row>
    <row r="249" spans="2:67" s="88" customFormat="1" ht="12.75">
      <c r="B249" s="8" t="s">
        <v>82</v>
      </c>
      <c r="C249" s="8"/>
      <c r="D249" s="8" t="s">
        <v>17</v>
      </c>
      <c r="F249" s="121"/>
      <c r="G249" s="91"/>
      <c r="H249" s="123"/>
      <c r="I249" s="91"/>
      <c r="J249" s="123"/>
      <c r="K249" s="91"/>
      <c r="L249" s="123"/>
      <c r="M249" s="91">
        <v>56485</v>
      </c>
      <c r="N249" s="123"/>
      <c r="O249" s="91">
        <v>53381</v>
      </c>
      <c r="P249" s="123"/>
      <c r="Q249" s="91">
        <v>55356</v>
      </c>
      <c r="R249" s="123"/>
      <c r="S249" s="91">
        <v>54983</v>
      </c>
      <c r="T249" s="123"/>
      <c r="U249" s="91">
        <v>55687</v>
      </c>
      <c r="V249" s="123"/>
      <c r="W249" s="91"/>
      <c r="X249" s="91"/>
      <c r="Y249" s="91"/>
      <c r="Z249" s="91"/>
      <c r="AA249" s="91"/>
      <c r="AB249" s="91"/>
      <c r="AC249"/>
      <c r="AD249"/>
      <c r="AE249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</row>
    <row r="250" spans="2:67" s="88" customFormat="1" ht="12.75">
      <c r="B250" s="8" t="s">
        <v>87</v>
      </c>
      <c r="C250" s="8"/>
      <c r="D250" s="8" t="s">
        <v>18</v>
      </c>
      <c r="F250" s="121"/>
      <c r="G250" s="91"/>
      <c r="H250" s="123"/>
      <c r="I250" s="91"/>
      <c r="J250" s="123"/>
      <c r="K250" s="91"/>
      <c r="L250" s="123"/>
      <c r="M250" s="91">
        <v>13.52</v>
      </c>
      <c r="N250" s="123"/>
      <c r="O250" s="91">
        <v>13.37</v>
      </c>
      <c r="P250" s="123"/>
      <c r="Q250" s="91">
        <v>13.4</v>
      </c>
      <c r="R250" s="123"/>
      <c r="S250" s="91">
        <v>13.45</v>
      </c>
      <c r="T250" s="123"/>
      <c r="U250" s="91">
        <v>13.27</v>
      </c>
      <c r="V250" s="123"/>
      <c r="W250" s="91"/>
      <c r="X250" s="91"/>
      <c r="Y250" s="91"/>
      <c r="Z250" s="91"/>
      <c r="AA250" s="91"/>
      <c r="AB250" s="91"/>
      <c r="AC250"/>
      <c r="AD250"/>
      <c r="AE250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</row>
    <row r="251" spans="2:67" s="88" customFormat="1" ht="12.75">
      <c r="B251" s="8" t="s">
        <v>88</v>
      </c>
      <c r="C251" s="8"/>
      <c r="D251" s="8" t="s">
        <v>18</v>
      </c>
      <c r="F251" s="121"/>
      <c r="G251" s="91"/>
      <c r="H251" s="123"/>
      <c r="I251" s="91"/>
      <c r="J251" s="123"/>
      <c r="K251" s="91"/>
      <c r="L251" s="123"/>
      <c r="M251" s="91">
        <v>27.2</v>
      </c>
      <c r="N251" s="123"/>
      <c r="O251" s="91">
        <v>29.1</v>
      </c>
      <c r="P251" s="123"/>
      <c r="Q251" s="91">
        <v>27.8</v>
      </c>
      <c r="R251" s="123"/>
      <c r="S251" s="91">
        <v>28.5</v>
      </c>
      <c r="T251" s="123"/>
      <c r="U251" s="91">
        <v>29.3</v>
      </c>
      <c r="V251" s="123"/>
      <c r="W251" s="91"/>
      <c r="X251" s="91"/>
      <c r="Y251" s="91"/>
      <c r="Z251" s="91"/>
      <c r="AA251" s="91"/>
      <c r="AB251" s="91"/>
      <c r="AC251"/>
      <c r="AD251"/>
      <c r="AE25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</row>
    <row r="252" spans="2:67" s="88" customFormat="1" ht="12.75">
      <c r="B252" s="8" t="s">
        <v>81</v>
      </c>
      <c r="C252" s="8"/>
      <c r="D252" s="8" t="s">
        <v>19</v>
      </c>
      <c r="F252" s="121"/>
      <c r="G252" s="91"/>
      <c r="H252" s="123"/>
      <c r="I252" s="91"/>
      <c r="J252" s="123"/>
      <c r="K252" s="91"/>
      <c r="L252" s="123"/>
      <c r="M252" s="91">
        <v>193.5</v>
      </c>
      <c r="N252" s="123"/>
      <c r="O252" s="91">
        <v>196.5</v>
      </c>
      <c r="P252" s="123"/>
      <c r="Q252" s="91">
        <v>192.6</v>
      </c>
      <c r="R252" s="123"/>
      <c r="S252" s="91">
        <v>192.7</v>
      </c>
      <c r="T252" s="123"/>
      <c r="U252" s="91">
        <v>193.3</v>
      </c>
      <c r="V252" s="123"/>
      <c r="W252" s="91"/>
      <c r="X252" s="91"/>
      <c r="Y252" s="91"/>
      <c r="Z252" s="91"/>
      <c r="AA252" s="91"/>
      <c r="AB252" s="91"/>
      <c r="AC252"/>
      <c r="AD252"/>
      <c r="AE252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</row>
    <row r="253" spans="6:31" s="88" customFormat="1" ht="12.75">
      <c r="F253" s="120"/>
      <c r="G253" s="91"/>
      <c r="H253" s="123"/>
      <c r="I253" s="91"/>
      <c r="J253" s="123"/>
      <c r="K253" s="91"/>
      <c r="L253" s="120"/>
      <c r="M253" s="89"/>
      <c r="N253" s="120"/>
      <c r="O253" s="89"/>
      <c r="P253" s="120"/>
      <c r="Q253" s="89"/>
      <c r="R253" s="120"/>
      <c r="S253" s="89"/>
      <c r="T253" s="120"/>
      <c r="U253" s="89"/>
      <c r="V253" s="120"/>
      <c r="W253" s="89"/>
      <c r="X253" s="89"/>
      <c r="Y253" s="89"/>
      <c r="Z253" s="89"/>
      <c r="AA253" s="89"/>
      <c r="AC253"/>
      <c r="AD253"/>
      <c r="AE253"/>
    </row>
    <row r="254" spans="1:31" s="88" customFormat="1" ht="12.75">
      <c r="A254" s="88" t="s">
        <v>429</v>
      </c>
      <c r="B254" s="41" t="s">
        <v>286</v>
      </c>
      <c r="F254" s="120"/>
      <c r="G254" s="50" t="s">
        <v>316</v>
      </c>
      <c r="H254" s="50"/>
      <c r="I254" s="50" t="s">
        <v>317</v>
      </c>
      <c r="J254" s="50"/>
      <c r="K254" s="50" t="s">
        <v>318</v>
      </c>
      <c r="L254" s="50"/>
      <c r="M254" s="50" t="s">
        <v>319</v>
      </c>
      <c r="N254" s="50"/>
      <c r="O254" s="50" t="s">
        <v>320</v>
      </c>
      <c r="P254" s="50"/>
      <c r="Q254" s="50" t="s">
        <v>321</v>
      </c>
      <c r="R254" s="50"/>
      <c r="S254" s="50" t="s">
        <v>322</v>
      </c>
      <c r="T254" s="50"/>
      <c r="U254" s="50" t="s">
        <v>323</v>
      </c>
      <c r="V254" s="50"/>
      <c r="W254" s="50" t="s">
        <v>47</v>
      </c>
      <c r="X254" s="89"/>
      <c r="Y254" s="89"/>
      <c r="Z254" s="89"/>
      <c r="AA254" s="89"/>
      <c r="AC254"/>
      <c r="AD254"/>
      <c r="AE254"/>
    </row>
    <row r="255" spans="2:31" s="88" customFormat="1" ht="12.75">
      <c r="B255" s="41"/>
      <c r="F255" s="120"/>
      <c r="G255" s="91"/>
      <c r="H255" s="123"/>
      <c r="I255" s="91"/>
      <c r="J255" s="123"/>
      <c r="K255" s="91"/>
      <c r="L255" s="120"/>
      <c r="M255" s="89"/>
      <c r="N255" s="120"/>
      <c r="O255" s="89"/>
      <c r="P255" s="120"/>
      <c r="Q255" s="89"/>
      <c r="R255" s="120"/>
      <c r="S255" s="89"/>
      <c r="T255" s="120"/>
      <c r="U255" s="89"/>
      <c r="V255" s="120"/>
      <c r="W255" s="89"/>
      <c r="X255" s="89"/>
      <c r="Y255" s="89"/>
      <c r="Z255" s="89"/>
      <c r="AA255" s="89"/>
      <c r="AC255"/>
      <c r="AD255"/>
      <c r="AE255"/>
    </row>
    <row r="256" spans="2:31" s="88" customFormat="1" ht="12.75">
      <c r="B256" s="88" t="s">
        <v>89</v>
      </c>
      <c r="C256" s="88" t="s">
        <v>331</v>
      </c>
      <c r="D256" s="88" t="s">
        <v>421</v>
      </c>
      <c r="F256" s="120"/>
      <c r="G256" s="91"/>
      <c r="H256" s="123"/>
      <c r="I256" s="91"/>
      <c r="J256" s="123"/>
      <c r="K256" s="91"/>
      <c r="L256" s="120"/>
      <c r="M256" s="89"/>
      <c r="N256" s="120"/>
      <c r="O256" s="89"/>
      <c r="P256" s="120"/>
      <c r="Q256" s="89"/>
      <c r="R256" s="120"/>
      <c r="S256" s="89"/>
      <c r="T256" s="120"/>
      <c r="U256" s="89"/>
      <c r="V256" s="120"/>
      <c r="W256" s="89"/>
      <c r="X256" s="89"/>
      <c r="Y256" s="89"/>
      <c r="Z256" s="89"/>
      <c r="AA256" s="89"/>
      <c r="AC256"/>
      <c r="AD256"/>
      <c r="AE256"/>
    </row>
    <row r="257" spans="2:67" s="88" customFormat="1" ht="12.75">
      <c r="B257" s="8" t="s">
        <v>82</v>
      </c>
      <c r="C257" s="8"/>
      <c r="D257" s="8" t="s">
        <v>17</v>
      </c>
      <c r="F257" s="121"/>
      <c r="G257" s="91">
        <v>54676.07612250967</v>
      </c>
      <c r="H257" s="123"/>
      <c r="I257" s="91">
        <v>54676.07612250967</v>
      </c>
      <c r="J257" s="123"/>
      <c r="K257" s="91">
        <v>54676.07612250967</v>
      </c>
      <c r="L257" s="123"/>
      <c r="M257" s="91">
        <v>54676.07612250967</v>
      </c>
      <c r="N257" s="123"/>
      <c r="O257" s="91">
        <v>54676.07612250967</v>
      </c>
      <c r="P257" s="123"/>
      <c r="Q257" s="91">
        <v>54676.07612250967</v>
      </c>
      <c r="R257" s="123"/>
      <c r="S257" s="91">
        <v>54676.07612250967</v>
      </c>
      <c r="T257" s="123"/>
      <c r="U257" s="91"/>
      <c r="V257" s="123"/>
      <c r="W257" s="91"/>
      <c r="X257" s="91"/>
      <c r="Y257" s="91"/>
      <c r="Z257" s="91"/>
      <c r="AA257" s="91"/>
      <c r="AB257" s="91"/>
      <c r="AC257"/>
      <c r="AD257"/>
      <c r="AE257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</row>
    <row r="258" spans="2:67" s="88" customFormat="1" ht="12.75">
      <c r="B258" s="8" t="s">
        <v>87</v>
      </c>
      <c r="C258" s="8"/>
      <c r="D258" s="8" t="s">
        <v>18</v>
      </c>
      <c r="F258" s="121"/>
      <c r="G258" s="91">
        <v>13.004293041926857</v>
      </c>
      <c r="H258" s="123"/>
      <c r="I258" s="91">
        <v>13.004293041926857</v>
      </c>
      <c r="J258" s="123"/>
      <c r="K258" s="91">
        <v>13.004293041926857</v>
      </c>
      <c r="L258" s="123"/>
      <c r="M258" s="91">
        <v>13.004293041926857</v>
      </c>
      <c r="N258" s="123"/>
      <c r="O258" s="91">
        <v>13.004293041926857</v>
      </c>
      <c r="P258" s="123"/>
      <c r="Q258" s="91">
        <v>13.004293041926857</v>
      </c>
      <c r="R258" s="123"/>
      <c r="S258" s="91">
        <v>13.004293041926857</v>
      </c>
      <c r="T258" s="123"/>
      <c r="U258" s="91"/>
      <c r="V258" s="123"/>
      <c r="W258" s="91"/>
      <c r="X258" s="91"/>
      <c r="Y258" s="91"/>
      <c r="Z258" s="91"/>
      <c r="AA258" s="91"/>
      <c r="AB258" s="91"/>
      <c r="AC258"/>
      <c r="AD258"/>
      <c r="AE258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</row>
    <row r="259" spans="2:67" s="88" customFormat="1" ht="12.75">
      <c r="B259" s="8" t="s">
        <v>88</v>
      </c>
      <c r="C259" s="8"/>
      <c r="D259" s="8" t="s">
        <v>18</v>
      </c>
      <c r="F259" s="121"/>
      <c r="G259" s="91">
        <v>0</v>
      </c>
      <c r="H259" s="123"/>
      <c r="I259" s="91">
        <v>0</v>
      </c>
      <c r="J259" s="123"/>
      <c r="K259" s="91">
        <v>0</v>
      </c>
      <c r="L259" s="123"/>
      <c r="M259" s="91">
        <v>0</v>
      </c>
      <c r="N259" s="123"/>
      <c r="O259" s="91">
        <v>0</v>
      </c>
      <c r="P259" s="123"/>
      <c r="Q259" s="91">
        <v>0</v>
      </c>
      <c r="R259" s="123"/>
      <c r="S259" s="91">
        <v>0</v>
      </c>
      <c r="T259" s="123"/>
      <c r="U259" s="91"/>
      <c r="V259" s="123"/>
      <c r="W259" s="91"/>
      <c r="X259" s="91"/>
      <c r="Y259" s="91"/>
      <c r="Z259" s="91"/>
      <c r="AA259" s="91"/>
      <c r="AB259" s="91"/>
      <c r="AC259"/>
      <c r="AD259"/>
      <c r="AE259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</row>
    <row r="260" spans="2:67" s="88" customFormat="1" ht="12.75">
      <c r="B260" s="8" t="s">
        <v>81</v>
      </c>
      <c r="C260" s="8"/>
      <c r="D260" s="8" t="s">
        <v>19</v>
      </c>
      <c r="F260" s="121"/>
      <c r="G260" s="91">
        <v>0</v>
      </c>
      <c r="H260" s="123"/>
      <c r="I260" s="91">
        <v>0</v>
      </c>
      <c r="J260" s="123"/>
      <c r="K260" s="91">
        <v>0</v>
      </c>
      <c r="L260" s="123"/>
      <c r="M260" s="91">
        <v>0</v>
      </c>
      <c r="N260" s="123"/>
      <c r="O260" s="91">
        <v>0</v>
      </c>
      <c r="P260" s="123"/>
      <c r="Q260" s="91">
        <v>0</v>
      </c>
      <c r="R260" s="123"/>
      <c r="S260" s="91">
        <v>0</v>
      </c>
      <c r="T260" s="123"/>
      <c r="U260" s="91"/>
      <c r="V260" s="123"/>
      <c r="W260" s="91"/>
      <c r="X260" s="91"/>
      <c r="Y260" s="91"/>
      <c r="Z260" s="91"/>
      <c r="AA260" s="91"/>
      <c r="AB260" s="91"/>
      <c r="AC260"/>
      <c r="AD260"/>
      <c r="AE260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</row>
    <row r="261" spans="6:67" s="88" customFormat="1" ht="12.75">
      <c r="F261" s="121"/>
      <c r="G261" s="91"/>
      <c r="H261" s="123"/>
      <c r="I261" s="91"/>
      <c r="J261" s="123"/>
      <c r="K261" s="91"/>
      <c r="L261" s="123"/>
      <c r="M261" s="91"/>
      <c r="N261" s="123"/>
      <c r="O261" s="91"/>
      <c r="P261" s="123"/>
      <c r="Q261" s="91"/>
      <c r="R261" s="123"/>
      <c r="S261" s="91"/>
      <c r="T261" s="123"/>
      <c r="U261" s="91"/>
      <c r="V261" s="123"/>
      <c r="W261" s="91"/>
      <c r="X261" s="91"/>
      <c r="Y261" s="91"/>
      <c r="Z261" s="91"/>
      <c r="AA261" s="91"/>
      <c r="AB261" s="91"/>
      <c r="AC261"/>
      <c r="AD261"/>
      <c r="AE26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</row>
    <row r="262" spans="1:67" s="88" customFormat="1" ht="12.75">
      <c r="A262" s="88" t="s">
        <v>430</v>
      </c>
      <c r="B262" s="41" t="s">
        <v>288</v>
      </c>
      <c r="F262" s="121"/>
      <c r="G262" s="50" t="s">
        <v>316</v>
      </c>
      <c r="H262" s="50"/>
      <c r="I262" s="50" t="s">
        <v>317</v>
      </c>
      <c r="J262" s="50"/>
      <c r="K262" s="50" t="s">
        <v>318</v>
      </c>
      <c r="L262" s="50"/>
      <c r="M262" s="50" t="s">
        <v>319</v>
      </c>
      <c r="N262" s="50"/>
      <c r="O262" s="50" t="s">
        <v>320</v>
      </c>
      <c r="P262" s="50"/>
      <c r="Q262" s="50" t="s">
        <v>321</v>
      </c>
      <c r="R262" s="50"/>
      <c r="S262" s="50" t="s">
        <v>322</v>
      </c>
      <c r="T262" s="50"/>
      <c r="U262" s="50" t="s">
        <v>323</v>
      </c>
      <c r="V262" s="50"/>
      <c r="W262" s="50" t="s">
        <v>47</v>
      </c>
      <c r="X262" s="91"/>
      <c r="Y262" s="91"/>
      <c r="Z262" s="91"/>
      <c r="AA262" s="91"/>
      <c r="AB262" s="91"/>
      <c r="AC262"/>
      <c r="AD262"/>
      <c r="AE262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</row>
    <row r="263" spans="2:67" s="88" customFormat="1" ht="12.75">
      <c r="B263" s="41"/>
      <c r="F263" s="121"/>
      <c r="G263" s="91"/>
      <c r="H263" s="123"/>
      <c r="I263" s="91"/>
      <c r="J263" s="123"/>
      <c r="K263" s="91"/>
      <c r="L263" s="123"/>
      <c r="M263" s="91"/>
      <c r="N263" s="123"/>
      <c r="O263" s="91"/>
      <c r="P263" s="123"/>
      <c r="Q263" s="91"/>
      <c r="R263" s="123"/>
      <c r="S263" s="91"/>
      <c r="T263" s="123"/>
      <c r="U263" s="91"/>
      <c r="V263" s="123"/>
      <c r="W263" s="91"/>
      <c r="X263" s="91"/>
      <c r="Y263" s="91"/>
      <c r="Z263" s="91"/>
      <c r="AA263" s="91"/>
      <c r="AB263" s="91"/>
      <c r="AC263"/>
      <c r="AD263"/>
      <c r="AE263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</row>
    <row r="264" spans="2:67" s="88" customFormat="1" ht="12.75">
      <c r="B264" s="88" t="s">
        <v>89</v>
      </c>
      <c r="C264" s="88" t="s">
        <v>331</v>
      </c>
      <c r="D264" s="88" t="s">
        <v>421</v>
      </c>
      <c r="F264" s="121"/>
      <c r="G264" s="91"/>
      <c r="H264" s="123"/>
      <c r="I264" s="91"/>
      <c r="J264" s="123"/>
      <c r="K264" s="91"/>
      <c r="L264" s="123"/>
      <c r="M264" s="91"/>
      <c r="N264" s="123"/>
      <c r="O264" s="91"/>
      <c r="P264" s="123"/>
      <c r="Q264" s="91"/>
      <c r="R264" s="123"/>
      <c r="S264" s="91"/>
      <c r="T264" s="123"/>
      <c r="U264" s="91"/>
      <c r="V264" s="123"/>
      <c r="W264" s="91"/>
      <c r="X264" s="91"/>
      <c r="Y264" s="91"/>
      <c r="Z264" s="91"/>
      <c r="AA264" s="91"/>
      <c r="AB264" s="91"/>
      <c r="AC264"/>
      <c r="AD264"/>
      <c r="AE264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</row>
    <row r="265" spans="2:67" s="88" customFormat="1" ht="12.75">
      <c r="B265" s="8" t="s">
        <v>82</v>
      </c>
      <c r="C265" s="8"/>
      <c r="D265" s="8" t="s">
        <v>17</v>
      </c>
      <c r="F265" s="121"/>
      <c r="G265" s="91">
        <v>54676.07612250967</v>
      </c>
      <c r="H265" s="123"/>
      <c r="I265" s="91">
        <v>54676.07612250967</v>
      </c>
      <c r="J265" s="123"/>
      <c r="K265" s="91">
        <v>54676.07612250967</v>
      </c>
      <c r="L265" s="123"/>
      <c r="M265" s="91">
        <v>54676.07612250967</v>
      </c>
      <c r="N265" s="123"/>
      <c r="O265" s="91">
        <v>54676.07612250967</v>
      </c>
      <c r="P265" s="123"/>
      <c r="Q265" s="91">
        <v>54676.07612250967</v>
      </c>
      <c r="R265" s="123"/>
      <c r="S265" s="91">
        <v>54676.07612250967</v>
      </c>
      <c r="T265" s="123"/>
      <c r="U265" s="91">
        <v>54676.07612250967</v>
      </c>
      <c r="V265" s="123"/>
      <c r="W265" s="91">
        <v>54676.07612250967</v>
      </c>
      <c r="X265" s="91"/>
      <c r="Y265" s="91"/>
      <c r="Z265" s="91"/>
      <c r="AA265" s="91"/>
      <c r="AB265" s="91"/>
      <c r="AC265"/>
      <c r="AD265"/>
      <c r="AE265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</row>
    <row r="266" spans="2:67" s="88" customFormat="1" ht="12.75">
      <c r="B266" s="8" t="s">
        <v>87</v>
      </c>
      <c r="C266" s="8"/>
      <c r="D266" s="8" t="s">
        <v>18</v>
      </c>
      <c r="F266" s="121"/>
      <c r="G266" s="91">
        <v>13.004293041926857</v>
      </c>
      <c r="H266" s="123"/>
      <c r="I266" s="91">
        <v>13.004293041926857</v>
      </c>
      <c r="J266" s="123"/>
      <c r="K266" s="91">
        <v>13.004293041926857</v>
      </c>
      <c r="L266" s="123"/>
      <c r="M266" s="91">
        <v>13.004293041926857</v>
      </c>
      <c r="N266" s="123"/>
      <c r="O266" s="91">
        <v>13.004293041926857</v>
      </c>
      <c r="P266" s="123"/>
      <c r="Q266" s="91">
        <v>13.004293041926857</v>
      </c>
      <c r="R266" s="123"/>
      <c r="S266" s="91">
        <v>13.004293041926857</v>
      </c>
      <c r="T266" s="123"/>
      <c r="U266" s="91">
        <v>13.004293041926857</v>
      </c>
      <c r="V266" s="123"/>
      <c r="W266" s="91">
        <v>13.004293041926857</v>
      </c>
      <c r="X266" s="91"/>
      <c r="Y266" s="91"/>
      <c r="Z266" s="91"/>
      <c r="AA266" s="91"/>
      <c r="AB266" s="91"/>
      <c r="AC266"/>
      <c r="AD266"/>
      <c r="AE266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</row>
    <row r="267" spans="2:67" s="88" customFormat="1" ht="12.75">
      <c r="B267" s="8" t="s">
        <v>88</v>
      </c>
      <c r="C267" s="8"/>
      <c r="D267" s="8" t="s">
        <v>18</v>
      </c>
      <c r="F267" s="121"/>
      <c r="G267" s="91">
        <v>0</v>
      </c>
      <c r="H267" s="123"/>
      <c r="I267" s="91">
        <v>0</v>
      </c>
      <c r="J267" s="123"/>
      <c r="K267" s="91">
        <v>0</v>
      </c>
      <c r="L267" s="123"/>
      <c r="M267" s="91">
        <v>0</v>
      </c>
      <c r="N267" s="123"/>
      <c r="O267" s="91">
        <v>0</v>
      </c>
      <c r="P267" s="123"/>
      <c r="Q267" s="91">
        <v>0</v>
      </c>
      <c r="R267" s="123"/>
      <c r="S267" s="91">
        <v>0</v>
      </c>
      <c r="T267" s="123"/>
      <c r="U267" s="91">
        <v>0</v>
      </c>
      <c r="V267" s="123"/>
      <c r="W267" s="91">
        <v>0</v>
      </c>
      <c r="X267" s="91"/>
      <c r="Y267" s="91"/>
      <c r="Z267" s="91"/>
      <c r="AA267" s="91"/>
      <c r="AB267" s="91"/>
      <c r="AC267"/>
      <c r="AD267"/>
      <c r="AE267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</row>
    <row r="268" spans="2:67" s="88" customFormat="1" ht="12.75">
      <c r="B268" s="8" t="s">
        <v>81</v>
      </c>
      <c r="C268" s="8"/>
      <c r="D268" s="8" t="s">
        <v>19</v>
      </c>
      <c r="F268" s="121"/>
      <c r="G268" s="91">
        <v>0</v>
      </c>
      <c r="H268" s="123"/>
      <c r="I268" s="91">
        <v>0</v>
      </c>
      <c r="J268" s="123"/>
      <c r="K268" s="91">
        <v>0</v>
      </c>
      <c r="L268" s="123"/>
      <c r="M268" s="91">
        <v>0</v>
      </c>
      <c r="N268" s="123"/>
      <c r="O268" s="91">
        <v>0</v>
      </c>
      <c r="P268" s="123"/>
      <c r="Q268" s="91">
        <v>0</v>
      </c>
      <c r="R268" s="123"/>
      <c r="S268" s="91">
        <v>0</v>
      </c>
      <c r="T268" s="123"/>
      <c r="U268" s="91">
        <v>0</v>
      </c>
      <c r="V268" s="123"/>
      <c r="W268" s="91">
        <v>0</v>
      </c>
      <c r="X268" s="91"/>
      <c r="Y268" s="91"/>
      <c r="Z268" s="91"/>
      <c r="AA268" s="91"/>
      <c r="AB268" s="91"/>
      <c r="AC268"/>
      <c r="AD268"/>
      <c r="AE268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</row>
    <row r="269" spans="6:67" s="88" customFormat="1" ht="12.75">
      <c r="F269" s="121"/>
      <c r="G269" s="91"/>
      <c r="H269" s="123"/>
      <c r="I269" s="91"/>
      <c r="J269" s="123"/>
      <c r="K269" s="91"/>
      <c r="L269" s="123"/>
      <c r="M269" s="91"/>
      <c r="N269" s="123"/>
      <c r="O269" s="91"/>
      <c r="P269" s="123"/>
      <c r="Q269" s="91"/>
      <c r="R269" s="123"/>
      <c r="S269" s="91"/>
      <c r="T269" s="123"/>
      <c r="U269" s="91"/>
      <c r="V269" s="123"/>
      <c r="W269" s="91"/>
      <c r="X269" s="91"/>
      <c r="Y269" s="91"/>
      <c r="Z269" s="91"/>
      <c r="AA269" s="91"/>
      <c r="AB269" s="91"/>
      <c r="AC269"/>
      <c r="AD269"/>
      <c r="AE269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</row>
    <row r="270" spans="1:67" s="88" customFormat="1" ht="12.75">
      <c r="A270" s="88" t="s">
        <v>431</v>
      </c>
      <c r="B270" s="41" t="s">
        <v>290</v>
      </c>
      <c r="F270" s="121"/>
      <c r="G270" s="50" t="s">
        <v>316</v>
      </c>
      <c r="H270" s="50"/>
      <c r="I270" s="50" t="s">
        <v>317</v>
      </c>
      <c r="J270" s="50"/>
      <c r="K270" s="50" t="s">
        <v>318</v>
      </c>
      <c r="L270" s="50"/>
      <c r="M270" s="50" t="s">
        <v>319</v>
      </c>
      <c r="N270" s="50"/>
      <c r="O270" s="50" t="s">
        <v>320</v>
      </c>
      <c r="P270" s="50"/>
      <c r="Q270" s="50" t="s">
        <v>321</v>
      </c>
      <c r="R270" s="50"/>
      <c r="S270" s="50" t="s">
        <v>322</v>
      </c>
      <c r="T270" s="50"/>
      <c r="U270" s="50" t="s">
        <v>323</v>
      </c>
      <c r="V270" s="50"/>
      <c r="W270" s="50" t="s">
        <v>47</v>
      </c>
      <c r="X270" s="91"/>
      <c r="Y270" s="91"/>
      <c r="Z270" s="91"/>
      <c r="AA270" s="91"/>
      <c r="AB270" s="91"/>
      <c r="AC270"/>
      <c r="AD270"/>
      <c r="AE270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</row>
    <row r="271" spans="6:67" s="88" customFormat="1" ht="12.75">
      <c r="F271" s="121"/>
      <c r="G271" s="91"/>
      <c r="H271" s="123"/>
      <c r="I271" s="91"/>
      <c r="J271" s="123"/>
      <c r="K271" s="91"/>
      <c r="L271" s="123"/>
      <c r="M271" s="91"/>
      <c r="N271" s="123"/>
      <c r="O271" s="91"/>
      <c r="P271" s="123"/>
      <c r="Q271" s="91"/>
      <c r="R271" s="123"/>
      <c r="S271" s="91"/>
      <c r="T271" s="123"/>
      <c r="U271" s="91"/>
      <c r="V271" s="123"/>
      <c r="W271" s="91"/>
      <c r="X271" s="91"/>
      <c r="Y271" s="91"/>
      <c r="Z271" s="91"/>
      <c r="AA271" s="91"/>
      <c r="AB271" s="91"/>
      <c r="AC271"/>
      <c r="AD271"/>
      <c r="AE27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</row>
    <row r="272" spans="2:31" s="88" customFormat="1" ht="12.75">
      <c r="B272" s="88" t="s">
        <v>85</v>
      </c>
      <c r="C272" s="88" t="s">
        <v>421</v>
      </c>
      <c r="D272" s="88" t="s">
        <v>57</v>
      </c>
      <c r="E272" s="88" t="s">
        <v>15</v>
      </c>
      <c r="F272" s="120" t="s">
        <v>324</v>
      </c>
      <c r="G272" s="91">
        <v>61.98920369336242</v>
      </c>
      <c r="H272" s="123" t="s">
        <v>324</v>
      </c>
      <c r="I272" s="91">
        <v>11.690847452692337</v>
      </c>
      <c r="J272" s="123" t="s">
        <v>324</v>
      </c>
      <c r="K272" s="91">
        <v>10.193511225686443</v>
      </c>
      <c r="L272" s="120" t="s">
        <v>324</v>
      </c>
      <c r="M272" s="89"/>
      <c r="N272" s="120" t="s">
        <v>324</v>
      </c>
      <c r="O272" s="89"/>
      <c r="P272" s="120" t="s">
        <v>324</v>
      </c>
      <c r="Q272" s="89"/>
      <c r="R272" s="120" t="s">
        <v>324</v>
      </c>
      <c r="S272" s="89"/>
      <c r="T272" s="120" t="s">
        <v>324</v>
      </c>
      <c r="U272" s="89"/>
      <c r="V272" s="120" t="s">
        <v>324</v>
      </c>
      <c r="W272" s="91">
        <f>AVERAGE(G272,I272,K272)</f>
        <v>27.957854123913734</v>
      </c>
      <c r="X272" s="89"/>
      <c r="Y272" s="89"/>
      <c r="Z272" s="89"/>
      <c r="AA272" s="89"/>
      <c r="AB272" s="88">
        <v>27.957854123913734</v>
      </c>
      <c r="AC272"/>
      <c r="AD272"/>
      <c r="AE272"/>
    </row>
    <row r="273" spans="6:31" s="88" customFormat="1" ht="12.75">
      <c r="F273" s="120"/>
      <c r="G273" s="91"/>
      <c r="H273" s="123"/>
      <c r="I273" s="91"/>
      <c r="J273" s="123"/>
      <c r="K273" s="91"/>
      <c r="L273" s="120"/>
      <c r="M273" s="89"/>
      <c r="N273" s="120"/>
      <c r="O273" s="89"/>
      <c r="P273" s="120"/>
      <c r="Q273" s="89"/>
      <c r="R273" s="120"/>
      <c r="S273" s="89"/>
      <c r="T273" s="120"/>
      <c r="U273" s="89"/>
      <c r="V273" s="120"/>
      <c r="W273" s="89"/>
      <c r="X273" s="89"/>
      <c r="Y273" s="89"/>
      <c r="Z273" s="89"/>
      <c r="AA273" s="89"/>
      <c r="AC273"/>
      <c r="AD273"/>
      <c r="AE273"/>
    </row>
    <row r="274" spans="2:3" ht="12.75">
      <c r="B274" s="88" t="s">
        <v>89</v>
      </c>
      <c r="C274" s="88" t="s">
        <v>198</v>
      </c>
    </row>
    <row r="275" spans="2:67" s="88" customFormat="1" ht="12.75">
      <c r="B275" s="8" t="s">
        <v>82</v>
      </c>
      <c r="C275" s="8"/>
      <c r="D275" s="8" t="s">
        <v>17</v>
      </c>
      <c r="F275" s="121"/>
      <c r="G275" s="91">
        <v>46276</v>
      </c>
      <c r="H275" s="123"/>
      <c r="I275" s="91">
        <v>48235</v>
      </c>
      <c r="J275" s="123"/>
      <c r="K275" s="91">
        <v>45064</v>
      </c>
      <c r="L275" s="123"/>
      <c r="M275" s="91"/>
      <c r="N275" s="123"/>
      <c r="O275" s="91"/>
      <c r="P275" s="123"/>
      <c r="Q275" s="91"/>
      <c r="R275" s="123"/>
      <c r="S275" s="91"/>
      <c r="T275" s="123"/>
      <c r="U275" s="91"/>
      <c r="V275" s="123"/>
      <c r="W275" s="91"/>
      <c r="X275" s="91"/>
      <c r="Y275" s="91"/>
      <c r="Z275" s="91"/>
      <c r="AA275" s="91"/>
      <c r="AB275" s="91"/>
      <c r="AC275"/>
      <c r="AD275"/>
      <c r="AE275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</row>
    <row r="276" spans="2:67" s="88" customFormat="1" ht="12.75">
      <c r="B276" s="8" t="s">
        <v>87</v>
      </c>
      <c r="C276" s="8"/>
      <c r="D276" s="8" t="s">
        <v>18</v>
      </c>
      <c r="F276" s="121"/>
      <c r="G276" s="91">
        <v>12.13</v>
      </c>
      <c r="H276" s="123"/>
      <c r="I276" s="91">
        <v>11.91</v>
      </c>
      <c r="J276" s="123"/>
      <c r="K276" s="91">
        <v>11.95</v>
      </c>
      <c r="L276" s="123"/>
      <c r="M276" s="91"/>
      <c r="N276" s="123"/>
      <c r="O276" s="91"/>
      <c r="P276" s="123"/>
      <c r="Q276" s="91"/>
      <c r="R276" s="123"/>
      <c r="S276" s="91"/>
      <c r="T276" s="123"/>
      <c r="U276" s="91"/>
      <c r="V276" s="123"/>
      <c r="W276" s="91"/>
      <c r="X276" s="91"/>
      <c r="Y276" s="91"/>
      <c r="Z276" s="91"/>
      <c r="AA276" s="91"/>
      <c r="AB276" s="91"/>
      <c r="AC276"/>
      <c r="AD276"/>
      <c r="AE276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</row>
    <row r="277" spans="2:67" s="88" customFormat="1" ht="12.75">
      <c r="B277" s="8" t="s">
        <v>88</v>
      </c>
      <c r="C277" s="8"/>
      <c r="D277" s="8" t="s">
        <v>18</v>
      </c>
      <c r="F277" s="121"/>
      <c r="G277" s="91">
        <v>27.2</v>
      </c>
      <c r="H277" s="123"/>
      <c r="I277" s="91">
        <v>26.7</v>
      </c>
      <c r="J277" s="123"/>
      <c r="K277" s="91">
        <v>24.2</v>
      </c>
      <c r="L277" s="123"/>
      <c r="M277" s="91"/>
      <c r="N277" s="123"/>
      <c r="O277" s="91"/>
      <c r="P277" s="123"/>
      <c r="Q277" s="91"/>
      <c r="R277" s="123"/>
      <c r="S277" s="91"/>
      <c r="T277" s="123"/>
      <c r="U277" s="91"/>
      <c r="V277" s="123"/>
      <c r="W277" s="91"/>
      <c r="X277" s="91"/>
      <c r="Y277" s="91"/>
      <c r="Z277" s="91"/>
      <c r="AA277" s="91"/>
      <c r="AB277" s="91"/>
      <c r="AC277"/>
      <c r="AD277"/>
      <c r="AE277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</row>
    <row r="278" spans="2:67" s="88" customFormat="1" ht="12.75">
      <c r="B278" s="8" t="s">
        <v>81</v>
      </c>
      <c r="C278" s="8"/>
      <c r="D278" s="8" t="s">
        <v>19</v>
      </c>
      <c r="F278" s="121"/>
      <c r="G278" s="91">
        <v>203</v>
      </c>
      <c r="H278" s="123"/>
      <c r="I278" s="91">
        <v>203</v>
      </c>
      <c r="J278" s="123"/>
      <c r="K278" s="91">
        <v>204</v>
      </c>
      <c r="L278" s="123"/>
      <c r="M278" s="91"/>
      <c r="N278" s="123"/>
      <c r="O278" s="91"/>
      <c r="P278" s="123"/>
      <c r="Q278" s="91"/>
      <c r="R278" s="123"/>
      <c r="S278" s="91"/>
      <c r="T278" s="123"/>
      <c r="U278" s="91"/>
      <c r="V278" s="123"/>
      <c r="W278" s="91"/>
      <c r="X278" s="91"/>
      <c r="Y278" s="91"/>
      <c r="Z278" s="91"/>
      <c r="AA278" s="91"/>
      <c r="AB278" s="91"/>
      <c r="AC278"/>
      <c r="AD278"/>
      <c r="AE278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62"/>
  <sheetViews>
    <sheetView workbookViewId="0" topLeftCell="B1">
      <selection activeCell="B2" sqref="B2"/>
    </sheetView>
  </sheetViews>
  <sheetFormatPr defaultColWidth="9.140625" defaultRowHeight="12.75"/>
  <cols>
    <col min="1" max="1" width="2.28125" style="3" hidden="1" customWidth="1"/>
    <col min="2" max="2" width="24.7109375" style="2" customWidth="1"/>
    <col min="3" max="3" width="6.140625" style="2" customWidth="1"/>
    <col min="4" max="4" width="9.28125" style="2" customWidth="1"/>
    <col min="5" max="5" width="2.8515625" style="3" customWidth="1"/>
    <col min="6" max="6" width="9.57421875" style="4" customWidth="1"/>
    <col min="7" max="7" width="2.8515625" style="4" customWidth="1"/>
    <col min="8" max="8" width="10.421875" style="3" customWidth="1"/>
    <col min="9" max="9" width="2.421875" style="3" customWidth="1"/>
    <col min="10" max="10" width="9.7109375" style="3" customWidth="1"/>
    <col min="11" max="11" width="1.7109375" style="3" customWidth="1"/>
    <col min="12" max="12" width="9.7109375" style="3" customWidth="1"/>
    <col min="13" max="13" width="2.421875" style="3" customWidth="1"/>
    <col min="14" max="14" width="11.421875" style="3" customWidth="1"/>
    <col min="15" max="15" width="2.28125" style="3" customWidth="1"/>
    <col min="16" max="16" width="10.00390625" style="3" customWidth="1"/>
    <col min="17" max="17" width="2.28125" style="3" customWidth="1"/>
    <col min="18" max="18" width="10.00390625" style="3" customWidth="1"/>
    <col min="19" max="16384" width="8.8515625" style="3" customWidth="1"/>
  </cols>
  <sheetData>
    <row r="1" spans="2:18" ht="12.75">
      <c r="B1" s="26" t="s">
        <v>389</v>
      </c>
      <c r="C1" s="26"/>
      <c r="D1" s="9"/>
      <c r="E1" s="27"/>
      <c r="F1" s="28"/>
      <c r="G1" s="28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2:18" ht="12.75">
      <c r="B2" s="9"/>
      <c r="C2" s="9"/>
      <c r="D2" s="9"/>
      <c r="E2" s="27"/>
      <c r="F2" s="28"/>
      <c r="G2" s="28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2:18" ht="12.75">
      <c r="B3" s="9"/>
      <c r="C3" s="9"/>
      <c r="D3" s="9"/>
      <c r="E3" s="27"/>
      <c r="F3" s="28"/>
      <c r="G3" s="28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ht="12.75">
      <c r="A4" s="3" t="s">
        <v>90</v>
      </c>
      <c r="B4" s="26" t="s">
        <v>140</v>
      </c>
      <c r="C4" s="21" t="s">
        <v>141</v>
      </c>
      <c r="D4" s="9"/>
      <c r="E4" s="27"/>
      <c r="F4" s="29" t="s">
        <v>316</v>
      </c>
      <c r="G4" s="29"/>
      <c r="H4" s="29" t="s">
        <v>317</v>
      </c>
      <c r="I4" s="29"/>
      <c r="J4" s="29" t="s">
        <v>318</v>
      </c>
      <c r="K4" s="29"/>
      <c r="L4" s="29" t="s">
        <v>319</v>
      </c>
      <c r="M4" s="29"/>
      <c r="N4" s="29" t="s">
        <v>320</v>
      </c>
      <c r="O4" s="29"/>
      <c r="P4" s="29" t="s">
        <v>321</v>
      </c>
      <c r="Q4" s="29"/>
      <c r="R4" s="100" t="s">
        <v>47</v>
      </c>
    </row>
    <row r="5" spans="2:18" ht="12.75">
      <c r="B5" s="26"/>
      <c r="C5" s="21"/>
      <c r="D5" s="9"/>
      <c r="E5" s="27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100"/>
    </row>
    <row r="6" spans="2:18" ht="12.75">
      <c r="B6" s="9" t="s">
        <v>461</v>
      </c>
      <c r="C6" s="21"/>
      <c r="D6" s="9"/>
      <c r="E6" s="27"/>
      <c r="F6" s="29" t="s">
        <v>467</v>
      </c>
      <c r="G6" s="29"/>
      <c r="H6" s="29" t="s">
        <v>467</v>
      </c>
      <c r="I6" s="29"/>
      <c r="J6" s="29" t="s">
        <v>467</v>
      </c>
      <c r="K6" s="29"/>
      <c r="L6" s="29" t="s">
        <v>467</v>
      </c>
      <c r="M6" s="29"/>
      <c r="N6" s="29" t="s">
        <v>467</v>
      </c>
      <c r="O6" s="29"/>
      <c r="P6" s="29" t="s">
        <v>467</v>
      </c>
      <c r="Q6" s="29"/>
      <c r="R6" s="29" t="s">
        <v>467</v>
      </c>
    </row>
    <row r="7" spans="2:18" ht="12.75">
      <c r="B7" s="9" t="s">
        <v>462</v>
      </c>
      <c r="C7" s="9"/>
      <c r="D7" s="9"/>
      <c r="E7" s="27"/>
      <c r="F7" s="125" t="s">
        <v>25</v>
      </c>
      <c r="G7" s="125"/>
      <c r="H7" s="125" t="s">
        <v>25</v>
      </c>
      <c r="I7" s="125"/>
      <c r="J7" s="125" t="s">
        <v>25</v>
      </c>
      <c r="K7" s="125"/>
      <c r="L7" s="125" t="s">
        <v>25</v>
      </c>
      <c r="M7" s="125"/>
      <c r="N7" s="125" t="s">
        <v>25</v>
      </c>
      <c r="O7" s="125"/>
      <c r="P7" s="125" t="s">
        <v>25</v>
      </c>
      <c r="Q7" s="125"/>
      <c r="R7" s="125" t="s">
        <v>25</v>
      </c>
    </row>
    <row r="8" spans="2:18" ht="12.75">
      <c r="B8" s="9" t="s">
        <v>474</v>
      </c>
      <c r="C8" s="9"/>
      <c r="D8" s="9"/>
      <c r="E8" s="27"/>
      <c r="F8" s="125" t="s">
        <v>25</v>
      </c>
      <c r="G8" s="125"/>
      <c r="H8" s="125" t="s">
        <v>25</v>
      </c>
      <c r="I8" s="125"/>
      <c r="J8" s="125" t="s">
        <v>25</v>
      </c>
      <c r="K8" s="125"/>
      <c r="L8" s="125" t="s">
        <v>25</v>
      </c>
      <c r="M8" s="125"/>
      <c r="N8" s="125" t="s">
        <v>25</v>
      </c>
      <c r="O8" s="125"/>
      <c r="P8" s="125" t="s">
        <v>25</v>
      </c>
      <c r="Q8" s="125"/>
      <c r="R8" s="125" t="s">
        <v>25</v>
      </c>
    </row>
    <row r="9" spans="2:18" s="49" customFormat="1" ht="12.75">
      <c r="B9" s="49" t="s">
        <v>48</v>
      </c>
      <c r="E9" s="47"/>
      <c r="F9" s="125" t="s">
        <v>25</v>
      </c>
      <c r="G9" s="125"/>
      <c r="H9" s="125" t="s">
        <v>25</v>
      </c>
      <c r="I9" s="125"/>
      <c r="J9" s="125" t="s">
        <v>25</v>
      </c>
      <c r="K9" s="125"/>
      <c r="L9" s="125" t="s">
        <v>25</v>
      </c>
      <c r="M9" s="125"/>
      <c r="N9" s="125" t="s">
        <v>25</v>
      </c>
      <c r="O9" s="125"/>
      <c r="P9" s="125" t="s">
        <v>25</v>
      </c>
      <c r="Q9" s="125"/>
      <c r="R9" s="125" t="s">
        <v>25</v>
      </c>
    </row>
    <row r="10" spans="2:18" ht="12.75">
      <c r="B10" s="9" t="s">
        <v>91</v>
      </c>
      <c r="C10" s="9"/>
      <c r="D10" s="9" t="s">
        <v>53</v>
      </c>
      <c r="E10"/>
      <c r="F10"/>
      <c r="G10"/>
      <c r="H10"/>
      <c r="I10"/>
      <c r="J10"/>
      <c r="K10"/>
      <c r="L10" s="40"/>
      <c r="M10" s="40"/>
      <c r="N10" s="40"/>
      <c r="O10" s="40"/>
      <c r="P10" s="40"/>
      <c r="Q10" s="40"/>
      <c r="R10" s="5"/>
    </row>
    <row r="11" spans="2:18" ht="12.75">
      <c r="B11" s="9" t="s">
        <v>124</v>
      </c>
      <c r="C11" s="9" t="s">
        <v>142</v>
      </c>
      <c r="D11" s="9" t="s">
        <v>53</v>
      </c>
      <c r="E11" s="29"/>
      <c r="F11" s="10"/>
      <c r="G11" s="10"/>
      <c r="H11" s="10"/>
      <c r="I11" s="10"/>
      <c r="J11" s="30"/>
      <c r="K11" s="30"/>
      <c r="L11" s="30"/>
      <c r="M11" s="30"/>
      <c r="N11" s="30"/>
      <c r="O11" s="30"/>
      <c r="P11" s="56"/>
      <c r="Q11" s="56"/>
      <c r="R11" s="5"/>
    </row>
    <row r="12" spans="2:18" ht="12.75">
      <c r="B12" s="9" t="s">
        <v>83</v>
      </c>
      <c r="C12" s="9"/>
      <c r="D12" s="9" t="s">
        <v>53</v>
      </c>
      <c r="E12" s="27"/>
      <c r="F12" s="75">
        <v>2.449</v>
      </c>
      <c r="G12" s="75"/>
      <c r="H12" s="76">
        <v>6.48</v>
      </c>
      <c r="I12" s="76"/>
      <c r="J12" s="76">
        <v>22.458</v>
      </c>
      <c r="K12" s="76"/>
      <c r="L12" s="18"/>
      <c r="M12" s="18"/>
      <c r="N12" s="18"/>
      <c r="O12" s="18"/>
      <c r="P12" s="18"/>
      <c r="Q12" s="18"/>
      <c r="R12" s="60">
        <f>AVERAGE(F12:J12)</f>
        <v>10.462333333333333</v>
      </c>
    </row>
    <row r="13" spans="2:18" ht="12.75">
      <c r="B13" s="9" t="s">
        <v>145</v>
      </c>
      <c r="C13" s="9"/>
      <c r="D13" s="9" t="s">
        <v>53</v>
      </c>
      <c r="E13" s="27"/>
      <c r="F13" s="75">
        <v>0.896</v>
      </c>
      <c r="G13" s="75"/>
      <c r="H13" s="77">
        <v>3.922</v>
      </c>
      <c r="I13" s="77"/>
      <c r="J13" s="76">
        <v>16.388</v>
      </c>
      <c r="K13" s="76"/>
      <c r="L13"/>
      <c r="M13"/>
      <c r="N13"/>
      <c r="O13"/>
      <c r="P13"/>
      <c r="Q13"/>
      <c r="R13" s="60">
        <f aca="true" t="shared" si="0" ref="R13:R18">AVERAGE(F13:J13)</f>
        <v>7.068666666666668</v>
      </c>
    </row>
    <row r="14" spans="2:18" ht="12.75">
      <c r="B14" s="9" t="s">
        <v>105</v>
      </c>
      <c r="C14" s="9"/>
      <c r="D14" s="9" t="s">
        <v>53</v>
      </c>
      <c r="E14" s="27"/>
      <c r="F14" s="75">
        <v>2.316</v>
      </c>
      <c r="G14" s="75"/>
      <c r="H14" s="75">
        <v>2.682</v>
      </c>
      <c r="I14" s="75"/>
      <c r="J14" s="76">
        <v>2.247</v>
      </c>
      <c r="K14" s="76"/>
      <c r="L14" s="55"/>
      <c r="M14" s="55"/>
      <c r="N14" s="55"/>
      <c r="O14" s="55"/>
      <c r="P14" s="55"/>
      <c r="Q14" s="55"/>
      <c r="R14" s="60">
        <f t="shared" si="0"/>
        <v>2.4149999999999996</v>
      </c>
    </row>
    <row r="15" spans="2:18" ht="12.75">
      <c r="B15" s="9" t="s">
        <v>84</v>
      </c>
      <c r="C15" s="9"/>
      <c r="D15" s="9" t="s">
        <v>53</v>
      </c>
      <c r="E15" s="27"/>
      <c r="F15" s="75">
        <v>0</v>
      </c>
      <c r="G15" s="75"/>
      <c r="H15" s="75">
        <v>0</v>
      </c>
      <c r="I15" s="75"/>
      <c r="J15" s="76">
        <v>0</v>
      </c>
      <c r="K15" s="76"/>
      <c r="L15" s="55"/>
      <c r="M15" s="55"/>
      <c r="N15" s="55"/>
      <c r="O15" s="55"/>
      <c r="P15" s="55"/>
      <c r="Q15" s="55"/>
      <c r="R15" s="60">
        <f t="shared" si="0"/>
        <v>0</v>
      </c>
    </row>
    <row r="16" spans="2:18" ht="12.75">
      <c r="B16" s="9" t="s">
        <v>106</v>
      </c>
      <c r="C16" s="9"/>
      <c r="D16" s="9" t="s">
        <v>53</v>
      </c>
      <c r="E16" s="27"/>
      <c r="F16" s="75">
        <v>0.094</v>
      </c>
      <c r="G16" s="75"/>
      <c r="H16" s="75">
        <v>0.355</v>
      </c>
      <c r="I16" s="75"/>
      <c r="J16" s="76">
        <v>0.254</v>
      </c>
      <c r="K16" s="76"/>
      <c r="L16" s="55"/>
      <c r="M16" s="55"/>
      <c r="N16" s="55"/>
      <c r="O16" s="55"/>
      <c r="P16" s="55"/>
      <c r="Q16" s="55"/>
      <c r="R16" s="60">
        <f t="shared" si="0"/>
        <v>0.2343333333333333</v>
      </c>
    </row>
    <row r="17" spans="2:18" ht="12.75">
      <c r="B17" s="9" t="s">
        <v>85</v>
      </c>
      <c r="C17" s="9"/>
      <c r="D17" s="9" t="s">
        <v>53</v>
      </c>
      <c r="E17" s="27"/>
      <c r="F17" s="75">
        <v>0.0098</v>
      </c>
      <c r="G17" s="75"/>
      <c r="H17" s="75">
        <v>0.011</v>
      </c>
      <c r="I17" s="75"/>
      <c r="J17" s="76">
        <v>0.0094</v>
      </c>
      <c r="K17" s="76"/>
      <c r="L17" s="55"/>
      <c r="M17" s="55"/>
      <c r="N17" s="55"/>
      <c r="O17" s="55"/>
      <c r="P17" s="55"/>
      <c r="Q17" s="55"/>
      <c r="R17" s="60">
        <f t="shared" si="0"/>
        <v>0.010066666666666666</v>
      </c>
    </row>
    <row r="18" spans="2:18" ht="12.75">
      <c r="B18" s="9" t="s">
        <v>107</v>
      </c>
      <c r="C18" s="9"/>
      <c r="D18" s="9" t="s">
        <v>53</v>
      </c>
      <c r="E18" s="27"/>
      <c r="F18" s="75">
        <v>1.343</v>
      </c>
      <c r="G18" s="75"/>
      <c r="H18" s="75">
        <v>1.268</v>
      </c>
      <c r="I18" s="75"/>
      <c r="J18" s="76">
        <v>1.074</v>
      </c>
      <c r="K18" s="76"/>
      <c r="L18" s="55"/>
      <c r="M18" s="55"/>
      <c r="N18" s="55"/>
      <c r="O18" s="55"/>
      <c r="P18" s="55"/>
      <c r="Q18" s="55"/>
      <c r="R18" s="60">
        <f t="shared" si="0"/>
        <v>1.2283333333333333</v>
      </c>
    </row>
    <row r="19" spans="2:18" ht="12.75">
      <c r="B19" s="9" t="s">
        <v>49</v>
      </c>
      <c r="C19" s="9" t="s">
        <v>142</v>
      </c>
      <c r="D19" s="9" t="s">
        <v>53</v>
      </c>
      <c r="E19" s="27"/>
      <c r="F19" s="10"/>
      <c r="G19" s="10"/>
      <c r="H19" s="10"/>
      <c r="I19" s="10"/>
      <c r="J19" s="56"/>
      <c r="K19" s="56"/>
      <c r="L19" s="30"/>
      <c r="M19" s="30"/>
      <c r="N19" s="30"/>
      <c r="O19" s="30"/>
      <c r="P19" s="56"/>
      <c r="Q19" s="56"/>
      <c r="R19" s="5"/>
    </row>
    <row r="20" spans="2:18" ht="12.75">
      <c r="B20" s="9" t="s">
        <v>120</v>
      </c>
      <c r="C20" s="9"/>
      <c r="D20" s="9" t="s">
        <v>121</v>
      </c>
      <c r="E20" s="27"/>
      <c r="F20" s="10"/>
      <c r="G20" s="10"/>
      <c r="H20" s="10"/>
      <c r="I20" s="10"/>
      <c r="J20" s="56"/>
      <c r="K20" s="56"/>
      <c r="L20" s="30"/>
      <c r="M20" s="30"/>
      <c r="N20" s="30"/>
      <c r="O20" s="30"/>
      <c r="P20" s="56"/>
      <c r="Q20" s="56"/>
      <c r="R20" s="5"/>
    </row>
    <row r="21" spans="2:18" ht="12.75">
      <c r="B21" s="9" t="s">
        <v>477</v>
      </c>
      <c r="C21" s="9"/>
      <c r="D21" s="9" t="s">
        <v>121</v>
      </c>
      <c r="E21" s="27"/>
      <c r="F21" s="58"/>
      <c r="G21" s="58"/>
      <c r="H21" s="58"/>
      <c r="I21" s="58"/>
      <c r="J21" s="18"/>
      <c r="K21" s="18"/>
      <c r="L21" s="59"/>
      <c r="M21" s="59"/>
      <c r="N21" s="59"/>
      <c r="O21" s="59"/>
      <c r="P21" s="18"/>
      <c r="Q21" s="18"/>
      <c r="R21" s="60"/>
    </row>
    <row r="22" spans="2:18" ht="12.75">
      <c r="B22" s="9"/>
      <c r="C22" s="9"/>
      <c r="D22" s="9"/>
      <c r="E22" s="27"/>
      <c r="F22" s="58"/>
      <c r="G22" s="58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60"/>
    </row>
    <row r="23" spans="2:18" ht="12.75">
      <c r="B23" s="9"/>
      <c r="C23" s="9"/>
      <c r="D23" s="9"/>
      <c r="E23" s="27"/>
      <c r="F23" s="10"/>
      <c r="G23" s="10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2:18" ht="12.75">
      <c r="B24" s="12" t="s">
        <v>125</v>
      </c>
      <c r="C24" s="2" t="s">
        <v>147</v>
      </c>
      <c r="D24" s="9" t="s">
        <v>17</v>
      </c>
      <c r="E24" s="29"/>
      <c r="F24" s="10">
        <v>51258</v>
      </c>
      <c r="G24" s="10"/>
      <c r="H24" s="27">
        <v>51064</v>
      </c>
      <c r="I24" s="27"/>
      <c r="J24" s="27">
        <v>50355</v>
      </c>
      <c r="K24" s="27"/>
      <c r="L24" s="27"/>
      <c r="M24" s="27"/>
      <c r="N24" s="27"/>
      <c r="O24" s="27"/>
      <c r="P24" s="27"/>
      <c r="Q24" s="27"/>
      <c r="R24" s="40">
        <f>AVERAGE(F24:J24)</f>
        <v>50892.333333333336</v>
      </c>
    </row>
    <row r="25" spans="2:18" ht="12.75">
      <c r="B25" s="12" t="s">
        <v>66</v>
      </c>
      <c r="D25" s="9" t="s">
        <v>18</v>
      </c>
      <c r="E25" s="29"/>
      <c r="F25" s="10">
        <v>14.58</v>
      </c>
      <c r="G25" s="10"/>
      <c r="H25" s="27">
        <v>13.77</v>
      </c>
      <c r="I25" s="27"/>
      <c r="J25" s="27">
        <v>13.63</v>
      </c>
      <c r="K25" s="27"/>
      <c r="L25" s="27"/>
      <c r="M25" s="27"/>
      <c r="N25" s="27"/>
      <c r="O25" s="27"/>
      <c r="P25" s="27"/>
      <c r="Q25" s="27"/>
      <c r="R25" s="32">
        <f>AVERAGE(F25:J25)</f>
        <v>13.993333333333334</v>
      </c>
    </row>
    <row r="26" spans="2:18" ht="12.75">
      <c r="B26" s="9"/>
      <c r="C26" s="9"/>
      <c r="D26" s="9"/>
      <c r="E26" s="29"/>
      <c r="F26" s="10"/>
      <c r="G26" s="10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2:18" ht="12.75">
      <c r="B27" s="44" t="s">
        <v>114</v>
      </c>
      <c r="C27" s="9"/>
      <c r="D27" s="9"/>
      <c r="E27" s="27"/>
      <c r="F27" s="10"/>
      <c r="G27" s="10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2:18" ht="12.75">
      <c r="B28" s="9" t="s">
        <v>49</v>
      </c>
      <c r="C28" s="2" t="s">
        <v>142</v>
      </c>
      <c r="D28" s="9" t="s">
        <v>63</v>
      </c>
      <c r="E28" s="27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2:18" ht="12.75">
      <c r="B29" s="9"/>
      <c r="D29" s="9"/>
      <c r="E29" s="27"/>
      <c r="F29" s="10"/>
      <c r="G29" s="10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30"/>
    </row>
    <row r="30" spans="2:18" ht="12.75">
      <c r="B30" s="9" t="s">
        <v>124</v>
      </c>
      <c r="C30" s="2" t="s">
        <v>142</v>
      </c>
      <c r="D30" s="9" t="s">
        <v>57</v>
      </c>
      <c r="E30" s="27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2:18" ht="12.75">
      <c r="B31" s="9"/>
      <c r="D31" s="9"/>
      <c r="E31" s="27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30"/>
    </row>
    <row r="32" spans="2:18" ht="12.75">
      <c r="B32" s="9" t="s">
        <v>83</v>
      </c>
      <c r="D32" s="9" t="s">
        <v>57</v>
      </c>
      <c r="E32" s="27"/>
      <c r="F32" s="126">
        <f>F12*454000000/60/F$24/0.028317*(21-7)/(21-F$25)</f>
        <v>27840.529934157636</v>
      </c>
      <c r="G32" s="126"/>
      <c r="H32" s="126">
        <f>H12*454000000/60/H$24/0.028317*(21-7)/(21-H$25)</f>
        <v>65660.9670195006</v>
      </c>
      <c r="I32" s="126"/>
      <c r="J32" s="126">
        <f aca="true" t="shared" si="1" ref="J32:J38">J12*454000000/60/J$24/0.028317*(21-7)/(21-J$25)</f>
        <v>226384.3427006129</v>
      </c>
      <c r="K32" s="126"/>
      <c r="L32" s="126"/>
      <c r="M32" s="126"/>
      <c r="N32" s="126"/>
      <c r="O32" s="126"/>
      <c r="P32" s="126"/>
      <c r="Q32" s="126"/>
      <c r="R32" s="126">
        <f>AVERAGE(F32:J32)</f>
        <v>106628.61321809038</v>
      </c>
    </row>
    <row r="33" spans="2:18" ht="12.75">
      <c r="B33" s="9" t="s">
        <v>145</v>
      </c>
      <c r="D33" s="9" t="s">
        <v>57</v>
      </c>
      <c r="E33" s="27"/>
      <c r="F33" s="126">
        <f aca="true" t="shared" si="2" ref="F33:H38">F13*454000000/60/F$24/0.028317*(21-7)/(21-F$25)</f>
        <v>10185.837003268782</v>
      </c>
      <c r="G33" s="126"/>
      <c r="H33" s="126">
        <f t="shared" si="2"/>
        <v>39741.097631247125</v>
      </c>
      <c r="I33" s="126"/>
      <c r="J33" s="126">
        <f t="shared" si="1"/>
        <v>165196.6607969385</v>
      </c>
      <c r="K33" s="126"/>
      <c r="L33" s="127"/>
      <c r="M33" s="127"/>
      <c r="N33" s="127"/>
      <c r="O33" s="127"/>
      <c r="P33" s="127"/>
      <c r="Q33" s="127"/>
      <c r="R33" s="126">
        <f aca="true" t="shared" si="3" ref="R33:R41">AVERAGE(F33:J33)</f>
        <v>71707.86514381813</v>
      </c>
    </row>
    <row r="34" spans="2:18" ht="12.75">
      <c r="B34" s="9" t="s">
        <v>105</v>
      </c>
      <c r="D34" s="9" t="s">
        <v>57</v>
      </c>
      <c r="E34" s="27"/>
      <c r="F34" s="126">
        <f t="shared" si="2"/>
        <v>26328.569753984924</v>
      </c>
      <c r="G34" s="126"/>
      <c r="H34" s="126">
        <f t="shared" si="2"/>
        <v>27176.344683071078</v>
      </c>
      <c r="I34" s="126"/>
      <c r="J34" s="126">
        <f t="shared" si="1"/>
        <v>22650.53068164027</v>
      </c>
      <c r="K34" s="126"/>
      <c r="L34" s="126"/>
      <c r="M34" s="126"/>
      <c r="N34" s="126"/>
      <c r="O34" s="126"/>
      <c r="P34" s="126"/>
      <c r="Q34" s="126"/>
      <c r="R34" s="126">
        <f t="shared" si="3"/>
        <v>25385.148372898755</v>
      </c>
    </row>
    <row r="35" spans="2:18" ht="12.75">
      <c r="B35" s="9" t="s">
        <v>84</v>
      </c>
      <c r="D35" s="9" t="s">
        <v>57</v>
      </c>
      <c r="E35" s="27"/>
      <c r="F35" s="126">
        <f t="shared" si="2"/>
        <v>0</v>
      </c>
      <c r="G35" s="126"/>
      <c r="H35" s="126">
        <f t="shared" si="2"/>
        <v>0</v>
      </c>
      <c r="I35" s="126"/>
      <c r="J35" s="126">
        <f t="shared" si="1"/>
        <v>0</v>
      </c>
      <c r="K35" s="126"/>
      <c r="L35" s="126"/>
      <c r="M35" s="126"/>
      <c r="N35" s="126"/>
      <c r="O35" s="126"/>
      <c r="P35" s="126"/>
      <c r="Q35" s="126"/>
      <c r="R35" s="126">
        <f t="shared" si="3"/>
        <v>0</v>
      </c>
    </row>
    <row r="36" spans="2:18" ht="12.75">
      <c r="B36" s="9" t="s">
        <v>106</v>
      </c>
      <c r="D36" s="9" t="s">
        <v>57</v>
      </c>
      <c r="E36" s="27"/>
      <c r="F36" s="126">
        <f t="shared" si="2"/>
        <v>1068.6034356107873</v>
      </c>
      <c r="G36" s="126"/>
      <c r="H36" s="126">
        <f t="shared" si="2"/>
        <v>3597.1671746794304</v>
      </c>
      <c r="I36" s="126"/>
      <c r="J36" s="126">
        <f t="shared" si="1"/>
        <v>2560.4071175507916</v>
      </c>
      <c r="K36" s="126"/>
      <c r="L36" s="126"/>
      <c r="M36" s="126"/>
      <c r="N36" s="126"/>
      <c r="O36" s="126"/>
      <c r="P36" s="126"/>
      <c r="Q36" s="126"/>
      <c r="R36" s="126">
        <f t="shared" si="3"/>
        <v>2408.7259092803365</v>
      </c>
    </row>
    <row r="37" spans="2:18" ht="12.75">
      <c r="B37" s="9" t="s">
        <v>85</v>
      </c>
      <c r="D37" s="9" t="s">
        <v>57</v>
      </c>
      <c r="E37" s="27"/>
      <c r="F37" s="126">
        <f t="shared" si="2"/>
        <v>111.40759222325228</v>
      </c>
      <c r="G37" s="126"/>
      <c r="H37" s="126">
        <f t="shared" si="2"/>
        <v>111.46151808865842</v>
      </c>
      <c r="I37" s="126"/>
      <c r="J37" s="126">
        <f t="shared" si="1"/>
        <v>94.75522403534424</v>
      </c>
      <c r="K37" s="126"/>
      <c r="L37" s="126"/>
      <c r="M37" s="126"/>
      <c r="N37" s="126"/>
      <c r="O37" s="126"/>
      <c r="P37" s="126"/>
      <c r="Q37" s="126"/>
      <c r="R37" s="126">
        <f t="shared" si="3"/>
        <v>105.87477811575165</v>
      </c>
    </row>
    <row r="38" spans="2:18" ht="12.75">
      <c r="B38" s="9" t="s">
        <v>107</v>
      </c>
      <c r="D38" s="9" t="s">
        <v>57</v>
      </c>
      <c r="E38" s="27"/>
      <c r="F38" s="126">
        <f t="shared" si="2"/>
        <v>15267.387383247738</v>
      </c>
      <c r="G38" s="126"/>
      <c r="H38" s="126">
        <f t="shared" si="2"/>
        <v>12848.473176038084</v>
      </c>
      <c r="I38" s="126"/>
      <c r="J38" s="126">
        <f t="shared" si="1"/>
        <v>10826.288363187205</v>
      </c>
      <c r="K38" s="126"/>
      <c r="L38" s="126"/>
      <c r="M38" s="126"/>
      <c r="N38" s="126"/>
      <c r="O38" s="126"/>
      <c r="P38" s="126"/>
      <c r="Q38" s="126"/>
      <c r="R38" s="126">
        <f t="shared" si="3"/>
        <v>12980.716307491008</v>
      </c>
    </row>
    <row r="39" spans="2:18" ht="12.75">
      <c r="B39" s="3"/>
      <c r="D39" s="9"/>
      <c r="E39" s="27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</row>
    <row r="40" spans="2:18" ht="12.75">
      <c r="B40" s="9" t="s">
        <v>58</v>
      </c>
      <c r="C40" s="9"/>
      <c r="D40" s="9" t="s">
        <v>57</v>
      </c>
      <c r="E40" s="27"/>
      <c r="F40" s="126">
        <f>F32+F36</f>
        <v>28909.133369768424</v>
      </c>
      <c r="G40" s="126"/>
      <c r="H40" s="126">
        <f>H32+H36</f>
        <v>69258.13419418003</v>
      </c>
      <c r="I40" s="126"/>
      <c r="J40" s="126">
        <f>J32+J36</f>
        <v>228944.7498181637</v>
      </c>
      <c r="K40" s="126"/>
      <c r="L40" s="126"/>
      <c r="M40" s="126"/>
      <c r="N40" s="126"/>
      <c r="O40" s="126"/>
      <c r="P40" s="126"/>
      <c r="Q40" s="126"/>
      <c r="R40" s="126">
        <f t="shared" si="3"/>
        <v>109037.33912737072</v>
      </c>
    </row>
    <row r="41" spans="2:18" ht="12.75">
      <c r="B41" s="9" t="s">
        <v>59</v>
      </c>
      <c r="C41" s="9"/>
      <c r="D41" s="9" t="s">
        <v>57</v>
      </c>
      <c r="E41" s="27"/>
      <c r="F41" s="130">
        <f>F34+F35+F33</f>
        <v>36514.4067572537</v>
      </c>
      <c r="G41" s="130"/>
      <c r="H41" s="130">
        <f>H34+H35+H33</f>
        <v>66917.4423143182</v>
      </c>
      <c r="I41" s="130"/>
      <c r="J41" s="130">
        <f>J34+J35+J33</f>
        <v>187847.19147857875</v>
      </c>
      <c r="K41" s="130"/>
      <c r="L41" s="126"/>
      <c r="M41" s="126"/>
      <c r="N41" s="126"/>
      <c r="O41" s="126"/>
      <c r="P41" s="126"/>
      <c r="Q41" s="126"/>
      <c r="R41" s="126">
        <f t="shared" si="3"/>
        <v>97093.01351671689</v>
      </c>
    </row>
    <row r="42" spans="2:18" ht="12.75">
      <c r="B42" s="26"/>
      <c r="C42" s="26"/>
      <c r="D42" s="9"/>
      <c r="E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1:18" ht="12.75">
      <c r="A43" s="3" t="s">
        <v>90</v>
      </c>
      <c r="B43" s="26" t="s">
        <v>174</v>
      </c>
      <c r="C43" s="21" t="s">
        <v>175</v>
      </c>
      <c r="D43" s="9"/>
      <c r="E43" s="27"/>
      <c r="F43" s="29" t="s">
        <v>316</v>
      </c>
      <c r="G43" s="29"/>
      <c r="H43" s="29" t="s">
        <v>317</v>
      </c>
      <c r="I43" s="29"/>
      <c r="J43" s="29" t="s">
        <v>318</v>
      </c>
      <c r="K43" s="29"/>
      <c r="L43" s="29" t="s">
        <v>319</v>
      </c>
      <c r="M43" s="29"/>
      <c r="N43" s="29" t="s">
        <v>320</v>
      </c>
      <c r="O43" s="29"/>
      <c r="P43" s="29" t="s">
        <v>321</v>
      </c>
      <c r="Q43" s="29"/>
      <c r="R43" s="100" t="s">
        <v>47</v>
      </c>
    </row>
    <row r="44" spans="2:18" ht="12.75">
      <c r="B44" s="26"/>
      <c r="C44" s="21"/>
      <c r="D44" s="9"/>
      <c r="E44" s="27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100"/>
    </row>
    <row r="45" spans="2:18" ht="12.75">
      <c r="B45" s="9" t="s">
        <v>461</v>
      </c>
      <c r="C45" s="21"/>
      <c r="D45" s="9"/>
      <c r="E45" s="27"/>
      <c r="F45" s="29" t="s">
        <v>467</v>
      </c>
      <c r="G45" s="29"/>
      <c r="H45" s="29" t="s">
        <v>467</v>
      </c>
      <c r="I45" s="29"/>
      <c r="J45" s="29" t="s">
        <v>467</v>
      </c>
      <c r="K45" s="29"/>
      <c r="L45" s="29" t="s">
        <v>467</v>
      </c>
      <c r="M45" s="29"/>
      <c r="N45" s="29" t="s">
        <v>467</v>
      </c>
      <c r="O45" s="29"/>
      <c r="P45" s="29" t="s">
        <v>467</v>
      </c>
      <c r="Q45" s="29"/>
      <c r="R45" s="29" t="s">
        <v>467</v>
      </c>
    </row>
    <row r="46" spans="2:18" ht="12.75">
      <c r="B46" s="9" t="s">
        <v>462</v>
      </c>
      <c r="C46" s="9"/>
      <c r="D46" s="9"/>
      <c r="E46" s="27"/>
      <c r="F46" s="125" t="s">
        <v>25</v>
      </c>
      <c r="G46" s="125"/>
      <c r="H46" s="125" t="s">
        <v>25</v>
      </c>
      <c r="I46" s="125"/>
      <c r="J46" s="125" t="s">
        <v>25</v>
      </c>
      <c r="K46" s="125"/>
      <c r="L46" s="125" t="s">
        <v>25</v>
      </c>
      <c r="M46" s="125"/>
      <c r="N46" s="125" t="s">
        <v>25</v>
      </c>
      <c r="O46" s="125"/>
      <c r="P46" s="125" t="s">
        <v>25</v>
      </c>
      <c r="Q46" s="125"/>
      <c r="R46" s="125" t="s">
        <v>25</v>
      </c>
    </row>
    <row r="47" spans="2:18" ht="12.75">
      <c r="B47" s="9" t="s">
        <v>474</v>
      </c>
      <c r="C47" s="9"/>
      <c r="D47" s="9"/>
      <c r="E47" s="27"/>
      <c r="F47" s="125" t="s">
        <v>25</v>
      </c>
      <c r="G47" s="125"/>
      <c r="H47" s="125" t="s">
        <v>25</v>
      </c>
      <c r="I47" s="125"/>
      <c r="J47" s="125" t="s">
        <v>25</v>
      </c>
      <c r="K47" s="125"/>
      <c r="L47" s="125" t="s">
        <v>25</v>
      </c>
      <c r="M47" s="125"/>
      <c r="N47" s="125" t="s">
        <v>25</v>
      </c>
      <c r="O47" s="125"/>
      <c r="P47" s="125" t="s">
        <v>25</v>
      </c>
      <c r="Q47" s="125"/>
      <c r="R47" s="125" t="s">
        <v>25</v>
      </c>
    </row>
    <row r="48" spans="2:18" s="49" customFormat="1" ht="12.75">
      <c r="B48" s="49" t="s">
        <v>48</v>
      </c>
      <c r="E48" s="47"/>
      <c r="F48" s="125" t="s">
        <v>25</v>
      </c>
      <c r="G48" s="125"/>
      <c r="H48" s="125" t="s">
        <v>25</v>
      </c>
      <c r="I48" s="125"/>
      <c r="J48" s="125" t="s">
        <v>25</v>
      </c>
      <c r="K48" s="125"/>
      <c r="L48" s="125" t="s">
        <v>25</v>
      </c>
      <c r="M48" s="125"/>
      <c r="N48" s="125" t="s">
        <v>25</v>
      </c>
      <c r="O48" s="125"/>
      <c r="P48" s="125" t="s">
        <v>25</v>
      </c>
      <c r="Q48" s="125"/>
      <c r="R48" s="125" t="s">
        <v>25</v>
      </c>
    </row>
    <row r="49" spans="2:18" ht="12.75">
      <c r="B49" s="9" t="s">
        <v>91</v>
      </c>
      <c r="C49" s="9"/>
      <c r="D49" s="9" t="s">
        <v>53</v>
      </c>
      <c r="E49"/>
      <c r="F49"/>
      <c r="G49"/>
      <c r="H49"/>
      <c r="I49"/>
      <c r="J49"/>
      <c r="K49"/>
      <c r="L49" s="40"/>
      <c r="M49" s="40"/>
      <c r="N49" s="40"/>
      <c r="O49" s="40"/>
      <c r="P49" s="40"/>
      <c r="Q49" s="40"/>
      <c r="R49" s="5"/>
    </row>
    <row r="50" spans="2:18" ht="12.75">
      <c r="B50" s="9" t="s">
        <v>124</v>
      </c>
      <c r="C50" s="9" t="s">
        <v>142</v>
      </c>
      <c r="D50" s="9" t="s">
        <v>53</v>
      </c>
      <c r="E50" s="29"/>
      <c r="F50" s="10"/>
      <c r="G50" s="10"/>
      <c r="H50" s="10"/>
      <c r="I50" s="10"/>
      <c r="J50" s="30"/>
      <c r="K50" s="30"/>
      <c r="L50" s="30"/>
      <c r="M50" s="30"/>
      <c r="N50" s="30"/>
      <c r="O50" s="30"/>
      <c r="P50" s="56"/>
      <c r="Q50" s="56"/>
      <c r="R50" s="5"/>
    </row>
    <row r="51" spans="2:18" ht="12.75">
      <c r="B51" s="9" t="s">
        <v>83</v>
      </c>
      <c r="C51" s="9"/>
      <c r="D51" s="9" t="s">
        <v>53</v>
      </c>
      <c r="E51" s="27"/>
      <c r="F51" s="75">
        <v>15.989</v>
      </c>
      <c r="G51" s="75"/>
      <c r="H51" s="76">
        <v>14.436</v>
      </c>
      <c r="I51" s="76"/>
      <c r="J51" s="76">
        <v>14.74</v>
      </c>
      <c r="K51" s="76"/>
      <c r="L51" s="18"/>
      <c r="M51" s="18"/>
      <c r="N51" s="18"/>
      <c r="O51" s="18"/>
      <c r="P51" s="18"/>
      <c r="Q51" s="18"/>
      <c r="R51" s="60">
        <f>AVERAGE(F51:J51)</f>
        <v>15.055</v>
      </c>
    </row>
    <row r="52" spans="2:18" ht="12.75">
      <c r="B52" s="9" t="s">
        <v>145</v>
      </c>
      <c r="C52" s="9"/>
      <c r="D52" s="9" t="s">
        <v>53</v>
      </c>
      <c r="E52" s="27"/>
      <c r="F52" s="75">
        <v>17.705</v>
      </c>
      <c r="G52" s="75"/>
      <c r="H52" s="77">
        <v>7.154</v>
      </c>
      <c r="I52" s="77"/>
      <c r="J52" s="76">
        <v>15.322</v>
      </c>
      <c r="K52" s="76"/>
      <c r="L52"/>
      <c r="M52"/>
      <c r="N52"/>
      <c r="O52"/>
      <c r="P52"/>
      <c r="Q52"/>
      <c r="R52" s="60">
        <f aca="true" t="shared" si="4" ref="R52:R57">AVERAGE(F52:J52)</f>
        <v>13.393666666666666</v>
      </c>
    </row>
    <row r="53" spans="2:18" ht="12.75">
      <c r="B53" s="9" t="s">
        <v>105</v>
      </c>
      <c r="C53" s="9"/>
      <c r="D53" s="9" t="s">
        <v>53</v>
      </c>
      <c r="E53" s="27"/>
      <c r="F53" s="75">
        <v>0.269</v>
      </c>
      <c r="G53" s="75"/>
      <c r="H53" s="75">
        <v>0.3</v>
      </c>
      <c r="I53" s="75"/>
      <c r="J53" s="76">
        <v>0.587</v>
      </c>
      <c r="K53" s="76"/>
      <c r="L53" s="55"/>
      <c r="M53" s="55"/>
      <c r="N53" s="55"/>
      <c r="O53" s="55"/>
      <c r="P53" s="55"/>
      <c r="Q53" s="55"/>
      <c r="R53" s="60">
        <f t="shared" si="4"/>
        <v>0.3853333333333333</v>
      </c>
    </row>
    <row r="54" spans="2:18" ht="12.75">
      <c r="B54" s="9" t="s">
        <v>84</v>
      </c>
      <c r="C54" s="9"/>
      <c r="D54" s="9" t="s">
        <v>53</v>
      </c>
      <c r="E54" s="27"/>
      <c r="F54" s="75">
        <v>0.155</v>
      </c>
      <c r="G54" s="75"/>
      <c r="H54" s="75">
        <v>0.001</v>
      </c>
      <c r="I54" s="75"/>
      <c r="J54" s="76">
        <v>0.003</v>
      </c>
      <c r="K54" s="76"/>
      <c r="L54" s="55"/>
      <c r="M54" s="55"/>
      <c r="N54" s="55"/>
      <c r="O54" s="55"/>
      <c r="P54" s="55"/>
      <c r="Q54" s="55"/>
      <c r="R54" s="60">
        <f t="shared" si="4"/>
        <v>0.053</v>
      </c>
    </row>
    <row r="55" spans="2:18" ht="12.75">
      <c r="B55" s="9" t="s">
        <v>106</v>
      </c>
      <c r="C55" s="9"/>
      <c r="D55" s="9" t="s">
        <v>53</v>
      </c>
      <c r="E55" s="27"/>
      <c r="F55" s="75">
        <v>0.143</v>
      </c>
      <c r="G55" s="75"/>
      <c r="H55" s="75">
        <v>0.663</v>
      </c>
      <c r="I55" s="75"/>
      <c r="J55" s="76">
        <v>1.007</v>
      </c>
      <c r="K55" s="76"/>
      <c r="L55" s="55"/>
      <c r="M55" s="55"/>
      <c r="N55" s="55"/>
      <c r="O55" s="55"/>
      <c r="P55" s="55"/>
      <c r="Q55" s="55"/>
      <c r="R55" s="60">
        <f t="shared" si="4"/>
        <v>0.6043333333333333</v>
      </c>
    </row>
    <row r="56" spans="2:18" ht="12.75">
      <c r="B56" s="9" t="s">
        <v>85</v>
      </c>
      <c r="C56" s="9"/>
      <c r="D56" s="9" t="s">
        <v>53</v>
      </c>
      <c r="E56" s="27"/>
      <c r="F56" s="75">
        <v>0.102</v>
      </c>
      <c r="G56" s="75"/>
      <c r="H56" s="75">
        <v>0.085</v>
      </c>
      <c r="I56" s="75"/>
      <c r="J56" s="76">
        <v>0.17</v>
      </c>
      <c r="K56" s="76"/>
      <c r="L56" s="55"/>
      <c r="M56" s="55"/>
      <c r="N56" s="55"/>
      <c r="O56" s="55"/>
      <c r="P56" s="55"/>
      <c r="Q56" s="55"/>
      <c r="R56" s="60">
        <f t="shared" si="4"/>
        <v>0.119</v>
      </c>
    </row>
    <row r="57" spans="2:18" ht="12.75">
      <c r="B57" s="9" t="s">
        <v>107</v>
      </c>
      <c r="C57" s="9"/>
      <c r="D57" s="9" t="s">
        <v>53</v>
      </c>
      <c r="E57" s="27"/>
      <c r="F57" s="75">
        <v>3.369</v>
      </c>
      <c r="G57" s="75"/>
      <c r="H57" s="75">
        <v>2.317</v>
      </c>
      <c r="I57" s="75"/>
      <c r="J57" s="76">
        <v>4.603</v>
      </c>
      <c r="K57" s="76"/>
      <c r="L57" s="55"/>
      <c r="M57" s="55"/>
      <c r="N57" s="55"/>
      <c r="O57" s="55"/>
      <c r="P57" s="55"/>
      <c r="Q57" s="55"/>
      <c r="R57" s="60">
        <f t="shared" si="4"/>
        <v>3.4296666666666664</v>
      </c>
    </row>
    <row r="58" spans="2:18" ht="12.75">
      <c r="B58" s="9" t="s">
        <v>49</v>
      </c>
      <c r="C58" s="9" t="s">
        <v>142</v>
      </c>
      <c r="D58" s="9" t="s">
        <v>53</v>
      </c>
      <c r="E58" s="27"/>
      <c r="F58" s="10"/>
      <c r="G58" s="10"/>
      <c r="H58" s="10"/>
      <c r="I58" s="10"/>
      <c r="J58" s="56"/>
      <c r="K58" s="56"/>
      <c r="L58" s="30"/>
      <c r="M58" s="30"/>
      <c r="N58" s="30"/>
      <c r="O58" s="30"/>
      <c r="P58" s="56"/>
      <c r="Q58" s="56"/>
      <c r="R58" s="5"/>
    </row>
    <row r="59" spans="2:18" ht="12.75">
      <c r="B59" s="9" t="s">
        <v>120</v>
      </c>
      <c r="C59" s="9"/>
      <c r="D59" s="9" t="s">
        <v>121</v>
      </c>
      <c r="E59" s="27"/>
      <c r="F59" s="10"/>
      <c r="G59" s="10"/>
      <c r="H59" s="10"/>
      <c r="I59" s="10"/>
      <c r="J59" s="56"/>
      <c r="K59" s="56"/>
      <c r="L59" s="30"/>
      <c r="M59" s="30"/>
      <c r="N59" s="30"/>
      <c r="O59" s="30"/>
      <c r="P59" s="56"/>
      <c r="Q59" s="56"/>
      <c r="R59" s="5"/>
    </row>
    <row r="60" spans="2:18" ht="12.75">
      <c r="B60" s="9" t="s">
        <v>477</v>
      </c>
      <c r="C60" s="9"/>
      <c r="D60" s="9" t="s">
        <v>121</v>
      </c>
      <c r="E60" s="27"/>
      <c r="F60" s="58"/>
      <c r="G60" s="58"/>
      <c r="H60" s="58"/>
      <c r="I60" s="58"/>
      <c r="J60" s="18"/>
      <c r="K60" s="18"/>
      <c r="L60" s="59"/>
      <c r="M60" s="59"/>
      <c r="N60" s="59"/>
      <c r="O60" s="59"/>
      <c r="P60" s="18"/>
      <c r="Q60" s="18"/>
      <c r="R60" s="60"/>
    </row>
    <row r="61" spans="2:18" ht="12" customHeight="1">
      <c r="B61" s="9" t="s">
        <v>178</v>
      </c>
      <c r="C61" s="9"/>
      <c r="D61" s="9" t="s">
        <v>53</v>
      </c>
      <c r="E61" s="27"/>
      <c r="F61" s="72"/>
      <c r="G61" s="72"/>
      <c r="H61" s="73"/>
      <c r="I61" s="73"/>
      <c r="J61" s="55"/>
      <c r="K61" s="55"/>
      <c r="L61" s="55"/>
      <c r="M61" s="55"/>
      <c r="N61" s="55"/>
      <c r="O61" s="55"/>
      <c r="P61" s="55"/>
      <c r="Q61" s="55"/>
      <c r="R61" s="60"/>
    </row>
    <row r="62" spans="2:18" ht="12.75">
      <c r="B62" s="9"/>
      <c r="C62" s="9"/>
      <c r="D62" s="9"/>
      <c r="E62" s="27"/>
      <c r="F62" s="58"/>
      <c r="G62" s="58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0"/>
    </row>
    <row r="63" spans="2:18" ht="12.75">
      <c r="B63" s="9"/>
      <c r="C63" s="9"/>
      <c r="D63" s="9"/>
      <c r="E63" s="27"/>
      <c r="F63" s="10"/>
      <c r="G63" s="10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2:18" ht="12.75">
      <c r="B64" s="12" t="s">
        <v>125</v>
      </c>
      <c r="C64" s="2" t="s">
        <v>147</v>
      </c>
      <c r="D64" s="9" t="s">
        <v>17</v>
      </c>
      <c r="E64" s="29"/>
      <c r="F64" s="10">
        <f>'emiss 1'!G103</f>
        <v>49341</v>
      </c>
      <c r="G64" s="10"/>
      <c r="H64" s="27">
        <f>'emiss 1'!I103</f>
        <v>50181</v>
      </c>
      <c r="I64" s="27"/>
      <c r="J64" s="27">
        <f>'emiss 1'!K103</f>
        <v>50380</v>
      </c>
      <c r="K64" s="27"/>
      <c r="L64" s="27"/>
      <c r="M64" s="27"/>
      <c r="N64" s="27"/>
      <c r="O64" s="27"/>
      <c r="P64" s="27"/>
      <c r="Q64" s="27"/>
      <c r="R64" s="40">
        <f>AVERAGE(F64:J64)</f>
        <v>49967.333333333336</v>
      </c>
    </row>
    <row r="65" spans="2:18" ht="12.75">
      <c r="B65" s="12" t="s">
        <v>66</v>
      </c>
      <c r="D65" s="9" t="s">
        <v>18</v>
      </c>
      <c r="E65" s="29"/>
      <c r="F65" s="10">
        <f>'emiss 1'!G104</f>
        <v>14</v>
      </c>
      <c r="G65" s="10"/>
      <c r="H65" s="27">
        <f>'emiss 1'!I104</f>
        <v>14.4</v>
      </c>
      <c r="I65" s="27"/>
      <c r="J65" s="27">
        <f>'emiss 1'!K104</f>
        <v>14.1</v>
      </c>
      <c r="K65" s="27"/>
      <c r="L65" s="27"/>
      <c r="M65" s="27"/>
      <c r="N65" s="27"/>
      <c r="O65" s="27"/>
      <c r="P65" s="27"/>
      <c r="Q65" s="27"/>
      <c r="R65" s="32">
        <f>AVERAGE(F65:J65)</f>
        <v>14.166666666666666</v>
      </c>
    </row>
    <row r="66" spans="2:18" ht="12.75">
      <c r="B66" s="9"/>
      <c r="C66" s="9"/>
      <c r="D66" s="9"/>
      <c r="E66" s="29"/>
      <c r="F66" s="10"/>
      <c r="G66" s="10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7" spans="2:18" ht="12.75">
      <c r="B67" s="44" t="s">
        <v>114</v>
      </c>
      <c r="C67" s="9"/>
      <c r="D67" s="9"/>
      <c r="E67" s="27"/>
      <c r="F67" s="10"/>
      <c r="G67" s="10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</row>
    <row r="68" spans="2:18" ht="12.75">
      <c r="B68" s="9" t="s">
        <v>49</v>
      </c>
      <c r="C68" s="2" t="s">
        <v>142</v>
      </c>
      <c r="D68" s="9" t="s">
        <v>63</v>
      </c>
      <c r="E68" s="27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</row>
    <row r="69" spans="2:18" ht="12.75">
      <c r="B69" s="9"/>
      <c r="D69" s="9"/>
      <c r="E69" s="27"/>
      <c r="F69" s="10"/>
      <c r="G69" s="10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30"/>
    </row>
    <row r="70" spans="2:18" ht="12.75">
      <c r="B70" s="9" t="s">
        <v>124</v>
      </c>
      <c r="C70" s="2" t="s">
        <v>142</v>
      </c>
      <c r="D70" s="9" t="s">
        <v>57</v>
      </c>
      <c r="E70" s="27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</row>
    <row r="71" spans="2:18" ht="12.75">
      <c r="B71" s="9"/>
      <c r="D71" s="9"/>
      <c r="E71" s="27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30"/>
    </row>
    <row r="72" spans="2:18" ht="12.75">
      <c r="B72" s="9" t="s">
        <v>83</v>
      </c>
      <c r="D72" s="9" t="s">
        <v>57</v>
      </c>
      <c r="E72" s="27"/>
      <c r="F72" s="126">
        <f>F51*454000000/60/F$64/0.028317*(21-7)/(21-F$65)</f>
        <v>173181.18727537323</v>
      </c>
      <c r="G72" s="126"/>
      <c r="H72" s="126">
        <f>H51*454000000/60/H$64/0.028317*(21-7)/(21-H$65)</f>
        <v>163060.5953202882</v>
      </c>
      <c r="I72" s="126"/>
      <c r="J72" s="126">
        <f aca="true" t="shared" si="5" ref="J72:J78">J51*454000000/60/J$64/0.028317*(21-7)/(21-J$65)</f>
        <v>158626.45802499427</v>
      </c>
      <c r="K72" s="126"/>
      <c r="L72" s="126"/>
      <c r="M72" s="126"/>
      <c r="N72" s="126"/>
      <c r="O72" s="126"/>
      <c r="P72" s="126"/>
      <c r="Q72" s="126"/>
      <c r="R72" s="126">
        <f>AVERAGE(F72:J72)</f>
        <v>164956.08020688524</v>
      </c>
    </row>
    <row r="73" spans="2:18" ht="12.75">
      <c r="B73" s="9" t="s">
        <v>145</v>
      </c>
      <c r="D73" s="9" t="s">
        <v>57</v>
      </c>
      <c r="E73" s="27"/>
      <c r="F73" s="126">
        <f aca="true" t="shared" si="6" ref="F73:H78">F52*454000000/60/F$64/0.028317*(21-7)/(21-F$65)</f>
        <v>191767.6478022693</v>
      </c>
      <c r="G73" s="126"/>
      <c r="H73" s="126">
        <f t="shared" si="6"/>
        <v>80807.3911693919</v>
      </c>
      <c r="I73" s="126"/>
      <c r="J73" s="126">
        <f t="shared" si="5"/>
        <v>164889.72794158495</v>
      </c>
      <c r="K73" s="126"/>
      <c r="L73" s="127"/>
      <c r="M73" s="127"/>
      <c r="N73" s="127"/>
      <c r="O73" s="127"/>
      <c r="P73" s="127"/>
      <c r="Q73" s="127"/>
      <c r="R73" s="126">
        <f aca="true" t="shared" si="7" ref="R73:R80">AVERAGE(F73:J73)</f>
        <v>145821.58897108203</v>
      </c>
    </row>
    <row r="74" spans="2:18" ht="12.75">
      <c r="B74" s="9" t="s">
        <v>105</v>
      </c>
      <c r="D74" s="9" t="s">
        <v>57</v>
      </c>
      <c r="E74" s="27"/>
      <c r="F74" s="126">
        <f t="shared" si="6"/>
        <v>2913.611819192909</v>
      </c>
      <c r="G74" s="126"/>
      <c r="H74" s="126">
        <f t="shared" si="6"/>
        <v>3388.624175400835</v>
      </c>
      <c r="I74" s="126"/>
      <c r="J74" s="126">
        <f t="shared" si="5"/>
        <v>6317.078077386134</v>
      </c>
      <c r="K74" s="126"/>
      <c r="L74" s="126"/>
      <c r="M74" s="126"/>
      <c r="N74" s="126"/>
      <c r="O74" s="126"/>
      <c r="P74" s="126"/>
      <c r="Q74" s="126"/>
      <c r="R74" s="126">
        <f t="shared" si="7"/>
        <v>4206.438023993293</v>
      </c>
    </row>
    <row r="75" spans="2:18" ht="12.75">
      <c r="B75" s="9" t="s">
        <v>84</v>
      </c>
      <c r="D75" s="9" t="s">
        <v>57</v>
      </c>
      <c r="E75" s="27"/>
      <c r="F75" s="126">
        <f t="shared" si="6"/>
        <v>1678.846959014501</v>
      </c>
      <c r="G75" s="126"/>
      <c r="H75" s="126">
        <f t="shared" si="6"/>
        <v>11.295413918002785</v>
      </c>
      <c r="I75" s="126"/>
      <c r="J75" s="126">
        <f t="shared" si="5"/>
        <v>32.28489647727155</v>
      </c>
      <c r="K75" s="126"/>
      <c r="L75" s="126"/>
      <c r="M75" s="126"/>
      <c r="N75" s="126"/>
      <c r="O75" s="126"/>
      <c r="P75" s="126"/>
      <c r="Q75" s="126"/>
      <c r="R75" s="126">
        <f t="shared" si="7"/>
        <v>574.1424231365918</v>
      </c>
    </row>
    <row r="76" spans="2:18" ht="12.75">
      <c r="B76" s="9" t="s">
        <v>106</v>
      </c>
      <c r="D76" s="9" t="s">
        <v>57</v>
      </c>
      <c r="E76" s="27"/>
      <c r="F76" s="126">
        <f t="shared" si="6"/>
        <v>1548.8717105746687</v>
      </c>
      <c r="G76" s="126"/>
      <c r="H76" s="126">
        <f t="shared" si="6"/>
        <v>7488.859427635844</v>
      </c>
      <c r="I76" s="126"/>
      <c r="J76" s="126">
        <f t="shared" si="5"/>
        <v>10836.96358420415</v>
      </c>
      <c r="K76" s="126"/>
      <c r="L76" s="126"/>
      <c r="M76" s="126"/>
      <c r="N76" s="126"/>
      <c r="O76" s="126"/>
      <c r="P76" s="126"/>
      <c r="Q76" s="126"/>
      <c r="R76" s="126">
        <f t="shared" si="7"/>
        <v>6624.898240804888</v>
      </c>
    </row>
    <row r="77" spans="2:18" ht="12.75">
      <c r="B77" s="9" t="s">
        <v>85</v>
      </c>
      <c r="D77" s="9" t="s">
        <v>57</v>
      </c>
      <c r="E77" s="27"/>
      <c r="F77" s="126">
        <f t="shared" si="6"/>
        <v>1104.7896117385749</v>
      </c>
      <c r="G77" s="126"/>
      <c r="H77" s="126">
        <f t="shared" si="6"/>
        <v>960.1101830302366</v>
      </c>
      <c r="I77" s="126"/>
      <c r="J77" s="126">
        <f t="shared" si="5"/>
        <v>1829.4774670453883</v>
      </c>
      <c r="K77" s="126"/>
      <c r="L77" s="126"/>
      <c r="M77" s="126"/>
      <c r="N77" s="126"/>
      <c r="O77" s="126"/>
      <c r="P77" s="126"/>
      <c r="Q77" s="126"/>
      <c r="R77" s="126">
        <f t="shared" si="7"/>
        <v>1298.1257539380665</v>
      </c>
    </row>
    <row r="78" spans="2:18" ht="12.75">
      <c r="B78" s="9" t="s">
        <v>107</v>
      </c>
      <c r="D78" s="9" t="s">
        <v>57</v>
      </c>
      <c r="E78" s="27"/>
      <c r="F78" s="126">
        <f t="shared" si="6"/>
        <v>36490.55099948293</v>
      </c>
      <c r="G78" s="126"/>
      <c r="H78" s="126">
        <f t="shared" si="6"/>
        <v>26171.474048012453</v>
      </c>
      <c r="I78" s="126"/>
      <c r="J78" s="126">
        <f t="shared" si="5"/>
        <v>49535.792828293655</v>
      </c>
      <c r="K78" s="126"/>
      <c r="L78" s="126"/>
      <c r="M78" s="126"/>
      <c r="N78" s="126"/>
      <c r="O78" s="126"/>
      <c r="P78" s="126"/>
      <c r="Q78" s="126"/>
      <c r="R78" s="126">
        <f t="shared" si="7"/>
        <v>37399.27262526302</v>
      </c>
    </row>
    <row r="79" spans="2:18" ht="12.75">
      <c r="B79" s="2" t="s">
        <v>58</v>
      </c>
      <c r="D79" s="9" t="s">
        <v>57</v>
      </c>
      <c r="F79" s="126">
        <f>F72+F76</f>
        <v>174730.0589859479</v>
      </c>
      <c r="G79" s="126"/>
      <c r="H79" s="126">
        <f>H72+H76</f>
        <v>170549.45474792406</v>
      </c>
      <c r="I79" s="126"/>
      <c r="J79" s="126">
        <f>J72+J76</f>
        <v>169463.4216091984</v>
      </c>
      <c r="K79" s="126"/>
      <c r="L79" s="129"/>
      <c r="M79" s="129"/>
      <c r="N79" s="129"/>
      <c r="O79" s="129"/>
      <c r="P79" s="129"/>
      <c r="Q79" s="129"/>
      <c r="R79" s="126">
        <f t="shared" si="7"/>
        <v>171580.97844769014</v>
      </c>
    </row>
    <row r="80" spans="2:18" ht="12.75">
      <c r="B80" s="2" t="s">
        <v>59</v>
      </c>
      <c r="D80" s="9" t="s">
        <v>57</v>
      </c>
      <c r="F80" s="130">
        <f>F74+F75+F73</f>
        <v>196360.1065804767</v>
      </c>
      <c r="G80" s="130"/>
      <c r="H80" s="130">
        <f>H74+H75+H73</f>
        <v>84207.31075871075</v>
      </c>
      <c r="I80" s="130"/>
      <c r="J80" s="130">
        <f>J74+J75+J73</f>
        <v>171239.09091544835</v>
      </c>
      <c r="K80" s="130"/>
      <c r="L80" s="129"/>
      <c r="M80" s="129"/>
      <c r="N80" s="129"/>
      <c r="O80" s="129"/>
      <c r="P80" s="129"/>
      <c r="Q80" s="129"/>
      <c r="R80" s="126">
        <f t="shared" si="7"/>
        <v>150602.16941821194</v>
      </c>
    </row>
    <row r="82" spans="2:18" ht="12.75">
      <c r="B82" s="44"/>
      <c r="C82" s="9"/>
      <c r="D82" s="9"/>
      <c r="E82" s="27"/>
      <c r="F82" s="10"/>
      <c r="G82" s="10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</row>
    <row r="83" spans="1:18" ht="12.75">
      <c r="A83" s="3" t="s">
        <v>90</v>
      </c>
      <c r="B83" s="26" t="s">
        <v>188</v>
      </c>
      <c r="C83" s="21" t="s">
        <v>189</v>
      </c>
      <c r="D83" s="9"/>
      <c r="E83" s="27"/>
      <c r="F83" s="29" t="s">
        <v>316</v>
      </c>
      <c r="G83" s="29"/>
      <c r="H83" s="29" t="s">
        <v>317</v>
      </c>
      <c r="I83" s="29"/>
      <c r="J83" s="29" t="s">
        <v>318</v>
      </c>
      <c r="K83" s="29"/>
      <c r="L83" s="29" t="s">
        <v>470</v>
      </c>
      <c r="M83" s="29"/>
      <c r="N83" s="29" t="s">
        <v>471</v>
      </c>
      <c r="O83" s="29"/>
      <c r="P83" s="29" t="s">
        <v>472</v>
      </c>
      <c r="Q83" s="29"/>
      <c r="R83" s="100" t="s">
        <v>47</v>
      </c>
    </row>
    <row r="84" spans="2:18" ht="12.75">
      <c r="B84" s="26"/>
      <c r="C84" s="21"/>
      <c r="D84" s="9"/>
      <c r="E84" s="27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100"/>
    </row>
    <row r="85" spans="2:18" ht="12.75">
      <c r="B85" s="9" t="s">
        <v>461</v>
      </c>
      <c r="C85" s="21"/>
      <c r="D85" s="9"/>
      <c r="E85" s="27"/>
      <c r="F85" s="29" t="s">
        <v>467</v>
      </c>
      <c r="G85" s="29"/>
      <c r="H85" s="29" t="s">
        <v>467</v>
      </c>
      <c r="I85" s="29"/>
      <c r="J85" s="29" t="s">
        <v>467</v>
      </c>
      <c r="K85" s="29"/>
      <c r="L85" s="29" t="s">
        <v>467</v>
      </c>
      <c r="M85" s="29"/>
      <c r="N85" s="29" t="s">
        <v>467</v>
      </c>
      <c r="O85" s="29"/>
      <c r="P85" s="29" t="s">
        <v>467</v>
      </c>
      <c r="Q85" s="29"/>
      <c r="R85" s="29" t="s">
        <v>467</v>
      </c>
    </row>
    <row r="86" spans="2:18" ht="12.75">
      <c r="B86" s="9" t="s">
        <v>462</v>
      </c>
      <c r="C86" s="9"/>
      <c r="D86" s="9"/>
      <c r="E86" s="27"/>
      <c r="F86" s="125" t="s">
        <v>25</v>
      </c>
      <c r="G86" s="125"/>
      <c r="H86" s="125" t="s">
        <v>25</v>
      </c>
      <c r="I86" s="125"/>
      <c r="J86" s="125" t="s">
        <v>25</v>
      </c>
      <c r="K86" s="125"/>
      <c r="L86" s="125" t="s">
        <v>25</v>
      </c>
      <c r="M86" s="125"/>
      <c r="N86" s="125" t="s">
        <v>25</v>
      </c>
      <c r="O86" s="125"/>
      <c r="P86" s="125" t="s">
        <v>25</v>
      </c>
      <c r="Q86" s="125"/>
      <c r="R86" s="125" t="s">
        <v>25</v>
      </c>
    </row>
    <row r="87" spans="2:18" ht="12.75">
      <c r="B87" s="9" t="s">
        <v>474</v>
      </c>
      <c r="C87" s="9"/>
      <c r="D87" s="9"/>
      <c r="E87" s="27"/>
      <c r="F87" s="125" t="s">
        <v>25</v>
      </c>
      <c r="G87" s="125"/>
      <c r="H87" s="125" t="s">
        <v>25</v>
      </c>
      <c r="I87" s="125"/>
      <c r="J87" s="125" t="s">
        <v>25</v>
      </c>
      <c r="K87" s="125"/>
      <c r="L87" s="125" t="s">
        <v>25</v>
      </c>
      <c r="M87" s="125"/>
      <c r="N87" s="125" t="s">
        <v>25</v>
      </c>
      <c r="O87" s="125"/>
      <c r="P87" s="125" t="s">
        <v>25</v>
      </c>
      <c r="Q87" s="125"/>
      <c r="R87" s="125" t="s">
        <v>25</v>
      </c>
    </row>
    <row r="88" spans="2:18" s="49" customFormat="1" ht="12.75">
      <c r="B88" s="49" t="s">
        <v>48</v>
      </c>
      <c r="E88" s="47"/>
      <c r="F88" s="125" t="s">
        <v>25</v>
      </c>
      <c r="G88" s="125"/>
      <c r="H88" s="125" t="s">
        <v>25</v>
      </c>
      <c r="I88" s="125"/>
      <c r="J88" s="125" t="s">
        <v>25</v>
      </c>
      <c r="K88" s="125"/>
      <c r="L88" s="125" t="s">
        <v>25</v>
      </c>
      <c r="M88" s="125"/>
      <c r="N88" s="125" t="s">
        <v>25</v>
      </c>
      <c r="O88" s="125"/>
      <c r="P88" s="125" t="s">
        <v>25</v>
      </c>
      <c r="Q88" s="125"/>
      <c r="R88" s="125" t="s">
        <v>25</v>
      </c>
    </row>
    <row r="89" spans="2:18" ht="12.75">
      <c r="B89" s="9" t="s">
        <v>91</v>
      </c>
      <c r="C89" s="9"/>
      <c r="D89" s="9" t="s">
        <v>53</v>
      </c>
      <c r="E89"/>
      <c r="F89"/>
      <c r="G89"/>
      <c r="H89"/>
      <c r="I89"/>
      <c r="J89"/>
      <c r="K89"/>
      <c r="L89" s="40"/>
      <c r="M89" s="40"/>
      <c r="N89" s="40"/>
      <c r="O89" s="40"/>
      <c r="P89" s="40"/>
      <c r="Q89" s="40"/>
      <c r="R89" s="5"/>
    </row>
    <row r="90" spans="2:18" ht="12.75">
      <c r="B90" s="9" t="s">
        <v>124</v>
      </c>
      <c r="C90" s="9" t="s">
        <v>142</v>
      </c>
      <c r="D90" s="9" t="s">
        <v>53</v>
      </c>
      <c r="E90" s="29"/>
      <c r="F90" s="10"/>
      <c r="G90" s="10"/>
      <c r="H90" s="10"/>
      <c r="I90" s="10"/>
      <c r="J90" s="30"/>
      <c r="K90" s="30"/>
      <c r="L90" s="30"/>
      <c r="M90" s="30"/>
      <c r="N90" s="30"/>
      <c r="O90" s="30"/>
      <c r="P90" s="56"/>
      <c r="Q90" s="56"/>
      <c r="R90" s="5"/>
    </row>
    <row r="91" spans="2:18" ht="12.75">
      <c r="B91" s="9" t="s">
        <v>83</v>
      </c>
      <c r="C91" s="9"/>
      <c r="D91" s="9" t="s">
        <v>53</v>
      </c>
      <c r="E91" s="27"/>
      <c r="F91" s="75">
        <v>8.14</v>
      </c>
      <c r="G91" s="75"/>
      <c r="H91" s="76">
        <v>36.42</v>
      </c>
      <c r="I91" s="76"/>
      <c r="J91" s="76">
        <v>4.67</v>
      </c>
      <c r="K91" s="76"/>
      <c r="L91" s="18"/>
      <c r="M91" s="18"/>
      <c r="N91" s="18"/>
      <c r="O91" s="18"/>
      <c r="P91" s="18"/>
      <c r="Q91" s="18"/>
      <c r="R91" s="60">
        <f>AVERAGE(F91:J91)</f>
        <v>16.41</v>
      </c>
    </row>
    <row r="92" spans="2:18" ht="12.75">
      <c r="B92" s="9" t="s">
        <v>145</v>
      </c>
      <c r="C92" s="9"/>
      <c r="D92" s="9" t="s">
        <v>53</v>
      </c>
      <c r="E92" s="27"/>
      <c r="F92" s="75">
        <v>6.59</v>
      </c>
      <c r="G92" s="75"/>
      <c r="H92" s="77">
        <v>28.44</v>
      </c>
      <c r="I92" s="77"/>
      <c r="J92" s="76">
        <v>4.53</v>
      </c>
      <c r="K92" s="76"/>
      <c r="L92"/>
      <c r="M92"/>
      <c r="N92"/>
      <c r="O92"/>
      <c r="P92"/>
      <c r="Q92"/>
      <c r="R92" s="60">
        <f aca="true" t="shared" si="8" ref="R92:R97">AVERAGE(F92:J92)</f>
        <v>13.186666666666667</v>
      </c>
    </row>
    <row r="93" spans="2:18" ht="12.75">
      <c r="B93" s="9" t="s">
        <v>105</v>
      </c>
      <c r="C93" s="9"/>
      <c r="D93" s="9" t="s">
        <v>53</v>
      </c>
      <c r="E93" s="27"/>
      <c r="F93" s="75">
        <v>0.63</v>
      </c>
      <c r="G93" s="75"/>
      <c r="H93" s="75">
        <v>0.505</v>
      </c>
      <c r="I93" s="75"/>
      <c r="J93" s="76">
        <v>0.301</v>
      </c>
      <c r="K93" s="76"/>
      <c r="L93" s="55"/>
      <c r="M93" s="55"/>
      <c r="N93" s="55"/>
      <c r="O93" s="55"/>
      <c r="P93" s="55"/>
      <c r="Q93" s="55"/>
      <c r="R93" s="60">
        <f t="shared" si="8"/>
        <v>0.47866666666666663</v>
      </c>
    </row>
    <row r="94" spans="2:18" ht="12.75">
      <c r="B94" s="9" t="s">
        <v>84</v>
      </c>
      <c r="C94" s="9"/>
      <c r="D94" s="9" t="s">
        <v>53</v>
      </c>
      <c r="E94" s="27"/>
      <c r="F94" s="75">
        <v>0.001</v>
      </c>
      <c r="G94" s="75"/>
      <c r="H94" s="83">
        <v>0.00048</v>
      </c>
      <c r="I94" s="83"/>
      <c r="J94" s="84">
        <v>0.0002</v>
      </c>
      <c r="K94" s="84"/>
      <c r="L94" s="55"/>
      <c r="M94" s="55"/>
      <c r="N94" s="55"/>
      <c r="O94" s="55"/>
      <c r="P94" s="55"/>
      <c r="Q94" s="55"/>
      <c r="R94" s="60">
        <f t="shared" si="8"/>
        <v>0.0005600000000000001</v>
      </c>
    </row>
    <row r="95" spans="2:18" ht="12.75">
      <c r="B95" s="9" t="s">
        <v>106</v>
      </c>
      <c r="C95" s="9"/>
      <c r="D95" s="9" t="s">
        <v>53</v>
      </c>
      <c r="E95" s="27"/>
      <c r="F95" s="75">
        <v>0.16</v>
      </c>
      <c r="G95" s="75"/>
      <c r="H95" s="75">
        <v>0.159</v>
      </c>
      <c r="I95" s="75"/>
      <c r="J95" s="76">
        <v>0.137</v>
      </c>
      <c r="K95" s="76"/>
      <c r="L95" s="55"/>
      <c r="M95" s="55"/>
      <c r="N95" s="55"/>
      <c r="O95" s="55"/>
      <c r="P95" s="55"/>
      <c r="Q95" s="55"/>
      <c r="R95" s="60">
        <f t="shared" si="8"/>
        <v>0.152</v>
      </c>
    </row>
    <row r="96" spans="2:18" ht="12.75">
      <c r="B96" s="9" t="s">
        <v>85</v>
      </c>
      <c r="C96" s="9"/>
      <c r="D96" s="9" t="s">
        <v>53</v>
      </c>
      <c r="E96" s="27"/>
      <c r="F96" s="75">
        <v>0.02</v>
      </c>
      <c r="G96" s="75"/>
      <c r="H96" s="75">
        <v>0.008</v>
      </c>
      <c r="I96" s="75"/>
      <c r="J96" s="76">
        <v>0.032</v>
      </c>
      <c r="K96" s="76"/>
      <c r="L96" s="55"/>
      <c r="M96" s="55"/>
      <c r="N96" s="55"/>
      <c r="O96" s="55"/>
      <c r="P96" s="55"/>
      <c r="Q96" s="55"/>
      <c r="R96" s="60">
        <f t="shared" si="8"/>
        <v>0.02</v>
      </c>
    </row>
    <row r="97" spans="2:18" ht="12.75">
      <c r="B97" s="9" t="s">
        <v>107</v>
      </c>
      <c r="C97" s="9"/>
      <c r="D97" s="9" t="s">
        <v>53</v>
      </c>
      <c r="E97" s="27"/>
      <c r="F97" s="75">
        <v>3.41</v>
      </c>
      <c r="G97" s="75"/>
      <c r="H97" s="75">
        <v>2.35</v>
      </c>
      <c r="I97" s="75"/>
      <c r="J97" s="76">
        <v>1.8</v>
      </c>
      <c r="K97" s="76"/>
      <c r="L97" s="55"/>
      <c r="M97" s="55"/>
      <c r="N97" s="55"/>
      <c r="O97" s="55"/>
      <c r="P97" s="55"/>
      <c r="Q97" s="55"/>
      <c r="R97" s="60">
        <f t="shared" si="8"/>
        <v>2.52</v>
      </c>
    </row>
    <row r="98" spans="2:18" ht="12.75">
      <c r="B98" s="9" t="s">
        <v>49</v>
      </c>
      <c r="C98" s="9" t="s">
        <v>142</v>
      </c>
      <c r="D98" s="9" t="s">
        <v>53</v>
      </c>
      <c r="E98" s="27"/>
      <c r="F98" s="10"/>
      <c r="G98" s="10"/>
      <c r="H98" s="10"/>
      <c r="I98" s="10"/>
      <c r="J98" s="56"/>
      <c r="K98" s="56"/>
      <c r="L98" s="30"/>
      <c r="M98" s="30"/>
      <c r="N98" s="30"/>
      <c r="O98" s="30"/>
      <c r="P98" s="56"/>
      <c r="Q98" s="56"/>
      <c r="R98" s="5"/>
    </row>
    <row r="99" spans="2:18" ht="12.75">
      <c r="B99" s="9" t="s">
        <v>120</v>
      </c>
      <c r="C99" s="9"/>
      <c r="D99" s="9" t="s">
        <v>121</v>
      </c>
      <c r="E99" s="27"/>
      <c r="F99" s="10"/>
      <c r="G99" s="10"/>
      <c r="H99" s="10"/>
      <c r="I99" s="10"/>
      <c r="J99" s="56"/>
      <c r="K99" s="56"/>
      <c r="L99" s="30"/>
      <c r="M99" s="30"/>
      <c r="N99" s="30"/>
      <c r="O99" s="30"/>
      <c r="P99" s="56"/>
      <c r="Q99" s="56"/>
      <c r="R99" s="5"/>
    </row>
    <row r="100" spans="2:18" ht="12.75">
      <c r="B100" s="9" t="s">
        <v>477</v>
      </c>
      <c r="C100" s="9"/>
      <c r="D100" s="9" t="s">
        <v>121</v>
      </c>
      <c r="E100" s="27"/>
      <c r="F100" s="58"/>
      <c r="G100" s="58"/>
      <c r="H100" s="58"/>
      <c r="I100" s="58"/>
      <c r="J100" s="18"/>
      <c r="K100" s="18"/>
      <c r="L100" s="59"/>
      <c r="M100" s="59"/>
      <c r="N100" s="59"/>
      <c r="O100" s="59"/>
      <c r="P100" s="18"/>
      <c r="Q100" s="18"/>
      <c r="R100" s="60"/>
    </row>
    <row r="101" spans="2:18" ht="12" customHeight="1">
      <c r="B101" s="9" t="s">
        <v>146</v>
      </c>
      <c r="C101" s="9"/>
      <c r="D101" s="9" t="s">
        <v>53</v>
      </c>
      <c r="E101" s="27"/>
      <c r="F101" s="72"/>
      <c r="G101" s="72"/>
      <c r="H101" s="73"/>
      <c r="I101" s="73"/>
      <c r="J101" s="55"/>
      <c r="K101" s="55"/>
      <c r="L101" s="55"/>
      <c r="M101" s="55"/>
      <c r="N101" s="55"/>
      <c r="O101" s="55"/>
      <c r="P101" s="55"/>
      <c r="Q101" s="55"/>
      <c r="R101" s="60"/>
    </row>
    <row r="102" spans="2:18" ht="12.75">
      <c r="B102" s="9"/>
      <c r="C102" s="9"/>
      <c r="D102" s="9"/>
      <c r="E102" s="27"/>
      <c r="F102" s="58"/>
      <c r="G102" s="58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ht="12.75">
      <c r="B103" s="9"/>
      <c r="C103" s="9"/>
      <c r="D103" s="9"/>
      <c r="E103" s="27"/>
      <c r="F103" s="10"/>
      <c r="G103" s="10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2:18" ht="12.75">
      <c r="B104" s="12" t="s">
        <v>125</v>
      </c>
      <c r="C104" s="2" t="s">
        <v>147</v>
      </c>
      <c r="D104" s="9" t="s">
        <v>17</v>
      </c>
      <c r="E104" s="29"/>
      <c r="F104" s="10">
        <f>'emiss 1'!G164</f>
        <v>45381</v>
      </c>
      <c r="G104" s="10"/>
      <c r="H104" s="27">
        <f>'emiss 1'!I164</f>
        <v>44973</v>
      </c>
      <c r="I104" s="27"/>
      <c r="J104" s="27">
        <f>'emiss 1'!K164</f>
        <v>43895</v>
      </c>
      <c r="K104" s="27"/>
      <c r="L104" s="27"/>
      <c r="M104" s="27"/>
      <c r="N104" s="27"/>
      <c r="O104" s="27"/>
      <c r="P104" s="27"/>
      <c r="Q104" s="27"/>
      <c r="R104" s="40">
        <f>AVERAGE(F104:J104)</f>
        <v>44749.666666666664</v>
      </c>
    </row>
    <row r="105" spans="2:18" ht="12.75">
      <c r="B105" s="12" t="s">
        <v>66</v>
      </c>
      <c r="D105" s="9" t="s">
        <v>18</v>
      </c>
      <c r="E105" s="29"/>
      <c r="F105" s="10">
        <f>'emiss 1'!G165</f>
        <v>13.52</v>
      </c>
      <c r="G105" s="10"/>
      <c r="H105" s="27">
        <f>'emiss 1'!I165</f>
        <v>14.53</v>
      </c>
      <c r="I105" s="27"/>
      <c r="J105" s="27">
        <f>'emiss 1'!K165</f>
        <v>14.49</v>
      </c>
      <c r="K105" s="27"/>
      <c r="L105" s="27"/>
      <c r="M105" s="27"/>
      <c r="N105" s="27"/>
      <c r="O105" s="27"/>
      <c r="P105" s="27"/>
      <c r="Q105" s="27"/>
      <c r="R105" s="32">
        <f>AVERAGE(F105:J105)</f>
        <v>14.18</v>
      </c>
    </row>
    <row r="106" spans="2:18" ht="12.75">
      <c r="B106" s="9"/>
      <c r="C106" s="9"/>
      <c r="D106" s="9"/>
      <c r="E106" s="29"/>
      <c r="F106" s="10"/>
      <c r="G106" s="10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2:18" ht="12.75">
      <c r="B107" s="44" t="s">
        <v>114</v>
      </c>
      <c r="C107" s="9"/>
      <c r="D107" s="9"/>
      <c r="E107" s="27"/>
      <c r="F107" s="10"/>
      <c r="G107" s="10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2:18" ht="12.75">
      <c r="B108" s="9" t="s">
        <v>49</v>
      </c>
      <c r="C108" s="2" t="s">
        <v>142</v>
      </c>
      <c r="D108" s="9" t="s">
        <v>63</v>
      </c>
      <c r="E108" s="27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</row>
    <row r="109" spans="2:18" ht="12.75">
      <c r="B109" s="9"/>
      <c r="D109" s="9"/>
      <c r="E109" s="27"/>
      <c r="F109" s="10"/>
      <c r="G109" s="10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30"/>
    </row>
    <row r="110" spans="2:18" ht="12.75">
      <c r="B110" s="9" t="s">
        <v>124</v>
      </c>
      <c r="C110" s="2" t="s">
        <v>142</v>
      </c>
      <c r="D110" s="9" t="s">
        <v>57</v>
      </c>
      <c r="E110" s="27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</row>
    <row r="111" spans="2:18" ht="12.75">
      <c r="B111" s="9"/>
      <c r="D111" s="9"/>
      <c r="E111" s="27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30"/>
    </row>
    <row r="112" spans="2:18" ht="12.75">
      <c r="B112" s="9" t="s">
        <v>83</v>
      </c>
      <c r="D112" s="9" t="s">
        <v>57</v>
      </c>
      <c r="E112" s="27"/>
      <c r="F112" s="126">
        <f>F91*454000000/60/F$104/0.028317*(21-7)/(21-F$105)</f>
        <v>89708.61314924003</v>
      </c>
      <c r="G112" s="126"/>
      <c r="H112" s="126">
        <f>H91*454000000/60/H$104/0.028317*(21-7)/(21-H$105)</f>
        <v>468240.74193207733</v>
      </c>
      <c r="I112" s="126"/>
      <c r="J112" s="126">
        <f aca="true" t="shared" si="9" ref="J112:J118">J91*454000000/60/J$104/0.028317*(21-7)/(21-J$105)</f>
        <v>61137.29730643838</v>
      </c>
      <c r="K112" s="126"/>
      <c r="L112" s="126"/>
      <c r="M112" s="126"/>
      <c r="N112" s="126"/>
      <c r="O112" s="126"/>
      <c r="P112" s="126"/>
      <c r="Q112" s="126"/>
      <c r="R112" s="126">
        <f>AVERAGE(F112:J112)</f>
        <v>206362.21746258522</v>
      </c>
    </row>
    <row r="113" spans="2:18" ht="12.75">
      <c r="B113" s="9" t="s">
        <v>145</v>
      </c>
      <c r="D113" s="9" t="s">
        <v>57</v>
      </c>
      <c r="E113" s="27"/>
      <c r="F113" s="126">
        <f aca="true" t="shared" si="10" ref="F113:H118">F92*454000000/60/F$104/0.028317*(21-7)/(21-F$105)</f>
        <v>72626.50622278769</v>
      </c>
      <c r="G113" s="126"/>
      <c r="H113" s="126">
        <f t="shared" si="10"/>
        <v>365644.335544983</v>
      </c>
      <c r="I113" s="126"/>
      <c r="J113" s="126">
        <f t="shared" si="9"/>
        <v>59304.48753708048</v>
      </c>
      <c r="K113" s="126"/>
      <c r="L113" s="127"/>
      <c r="M113" s="127"/>
      <c r="N113" s="127"/>
      <c r="O113" s="127"/>
      <c r="P113" s="127"/>
      <c r="Q113" s="127"/>
      <c r="R113" s="126">
        <f aca="true" t="shared" si="11" ref="R113:R120">AVERAGE(F113:J113)</f>
        <v>165858.44310161707</v>
      </c>
    </row>
    <row r="114" spans="2:18" ht="12.75">
      <c r="B114" s="9" t="s">
        <v>105</v>
      </c>
      <c r="D114" s="9" t="s">
        <v>57</v>
      </c>
      <c r="E114" s="27"/>
      <c r="F114" s="126">
        <f t="shared" si="10"/>
        <v>6943.049912041917</v>
      </c>
      <c r="G114" s="126"/>
      <c r="H114" s="126">
        <f t="shared" si="10"/>
        <v>6492.629727504092</v>
      </c>
      <c r="I114" s="126"/>
      <c r="J114" s="126">
        <f t="shared" si="9"/>
        <v>3940.541004119475</v>
      </c>
      <c r="K114" s="126"/>
      <c r="L114" s="126"/>
      <c r="M114" s="126"/>
      <c r="N114" s="126"/>
      <c r="O114" s="126"/>
      <c r="P114" s="126"/>
      <c r="Q114" s="126"/>
      <c r="R114" s="126">
        <f t="shared" si="11"/>
        <v>5792.073547888495</v>
      </c>
    </row>
    <row r="115" spans="2:18" ht="12.75">
      <c r="B115" s="9" t="s">
        <v>84</v>
      </c>
      <c r="D115" s="9" t="s">
        <v>57</v>
      </c>
      <c r="E115" s="27"/>
      <c r="F115" s="126">
        <f t="shared" si="10"/>
        <v>11.020714146098282</v>
      </c>
      <c r="G115" s="126"/>
      <c r="H115" s="126">
        <f t="shared" si="10"/>
        <v>6.1712124142613165</v>
      </c>
      <c r="I115" s="126"/>
      <c r="J115" s="126">
        <f t="shared" si="9"/>
        <v>2.618299670511279</v>
      </c>
      <c r="K115" s="126"/>
      <c r="L115" s="126"/>
      <c r="M115" s="126"/>
      <c r="N115" s="126"/>
      <c r="O115" s="126"/>
      <c r="P115" s="126"/>
      <c r="Q115" s="126"/>
      <c r="R115" s="126">
        <f t="shared" si="11"/>
        <v>6.603408743623625</v>
      </c>
    </row>
    <row r="116" spans="2:18" ht="12.75">
      <c r="B116" s="9" t="s">
        <v>106</v>
      </c>
      <c r="D116" s="9" t="s">
        <v>57</v>
      </c>
      <c r="E116" s="27"/>
      <c r="F116" s="126">
        <f t="shared" si="10"/>
        <v>1763.3142633757252</v>
      </c>
      <c r="G116" s="126"/>
      <c r="H116" s="126">
        <f t="shared" si="10"/>
        <v>2044.2141122240605</v>
      </c>
      <c r="I116" s="126"/>
      <c r="J116" s="126">
        <f t="shared" si="9"/>
        <v>1793.5352743002268</v>
      </c>
      <c r="K116" s="126"/>
      <c r="L116" s="126"/>
      <c r="M116" s="126"/>
      <c r="N116" s="126"/>
      <c r="O116" s="126"/>
      <c r="P116" s="126"/>
      <c r="Q116" s="126"/>
      <c r="R116" s="126">
        <f t="shared" si="11"/>
        <v>1867.0212166333374</v>
      </c>
    </row>
    <row r="117" spans="2:18" ht="12.75">
      <c r="B117" s="9" t="s">
        <v>85</v>
      </c>
      <c r="D117" s="9" t="s">
        <v>57</v>
      </c>
      <c r="E117" s="27"/>
      <c r="F117" s="126">
        <f t="shared" si="10"/>
        <v>220.41428292196565</v>
      </c>
      <c r="G117" s="126"/>
      <c r="H117" s="126">
        <f t="shared" si="10"/>
        <v>102.8535402376886</v>
      </c>
      <c r="I117" s="126"/>
      <c r="J117" s="126">
        <f t="shared" si="9"/>
        <v>418.9279472818048</v>
      </c>
      <c r="K117" s="126"/>
      <c r="L117" s="126"/>
      <c r="M117" s="126"/>
      <c r="N117" s="126"/>
      <c r="O117" s="126"/>
      <c r="P117" s="126"/>
      <c r="Q117" s="126"/>
      <c r="R117" s="126">
        <f t="shared" si="11"/>
        <v>247.398590147153</v>
      </c>
    </row>
    <row r="118" spans="2:18" ht="12.75">
      <c r="B118" s="9" t="s">
        <v>107</v>
      </c>
      <c r="D118" s="9" t="s">
        <v>57</v>
      </c>
      <c r="E118" s="27"/>
      <c r="F118" s="126">
        <f t="shared" si="10"/>
        <v>37580.635238195144</v>
      </c>
      <c r="G118" s="126"/>
      <c r="H118" s="126">
        <f t="shared" si="10"/>
        <v>30213.22744482103</v>
      </c>
      <c r="I118" s="126"/>
      <c r="J118" s="126">
        <f t="shared" si="9"/>
        <v>23564.69703460152</v>
      </c>
      <c r="K118" s="126"/>
      <c r="L118" s="126"/>
      <c r="M118" s="126"/>
      <c r="N118" s="126"/>
      <c r="O118" s="126"/>
      <c r="P118" s="126"/>
      <c r="Q118" s="126"/>
      <c r="R118" s="126">
        <f t="shared" si="11"/>
        <v>30452.853239205895</v>
      </c>
    </row>
    <row r="119" spans="2:18" ht="12.75">
      <c r="B119" s="9" t="s">
        <v>58</v>
      </c>
      <c r="D119" s="9" t="s">
        <v>57</v>
      </c>
      <c r="E119" s="27"/>
      <c r="F119" s="126">
        <f>F112+F116</f>
        <v>91471.92741261575</v>
      </c>
      <c r="G119" s="126"/>
      <c r="H119" s="126">
        <f>H112+H116</f>
        <v>470284.9560443014</v>
      </c>
      <c r="I119" s="126"/>
      <c r="J119" s="126">
        <f>J112+J116</f>
        <v>62930.832580738606</v>
      </c>
      <c r="K119" s="126"/>
      <c r="L119" s="126"/>
      <c r="M119" s="126"/>
      <c r="N119" s="126"/>
      <c r="O119" s="126"/>
      <c r="P119" s="126"/>
      <c r="Q119" s="126"/>
      <c r="R119" s="126">
        <f t="shared" si="11"/>
        <v>208229.23867921857</v>
      </c>
    </row>
    <row r="120" spans="2:18" ht="12.75">
      <c r="B120" s="9" t="s">
        <v>59</v>
      </c>
      <c r="D120" s="9" t="s">
        <v>57</v>
      </c>
      <c r="E120" s="27"/>
      <c r="F120" s="126">
        <f>F114+F115+F113</f>
        <v>79580.5768489757</v>
      </c>
      <c r="G120" s="126"/>
      <c r="H120" s="126">
        <f>H114+H115+H113</f>
        <v>372143.13648490136</v>
      </c>
      <c r="I120" s="126"/>
      <c r="J120" s="126">
        <f>J114+J115+J113</f>
        <v>63247.64684087047</v>
      </c>
      <c r="K120" s="126"/>
      <c r="L120" s="126"/>
      <c r="M120" s="126"/>
      <c r="N120" s="126"/>
      <c r="O120" s="126"/>
      <c r="P120" s="126"/>
      <c r="Q120" s="126"/>
      <c r="R120" s="126">
        <f t="shared" si="11"/>
        <v>171657.1200582492</v>
      </c>
    </row>
    <row r="123" spans="1:18" ht="12.75">
      <c r="A123" s="3" t="s">
        <v>90</v>
      </c>
      <c r="B123" s="26" t="s">
        <v>195</v>
      </c>
      <c r="C123" s="21" t="s">
        <v>196</v>
      </c>
      <c r="D123" s="9"/>
      <c r="E123" s="27"/>
      <c r="F123" s="29" t="s">
        <v>316</v>
      </c>
      <c r="G123" s="29"/>
      <c r="H123" s="29" t="s">
        <v>317</v>
      </c>
      <c r="I123" s="29"/>
      <c r="J123" s="29" t="s">
        <v>318</v>
      </c>
      <c r="K123" s="29"/>
      <c r="L123" s="29" t="s">
        <v>319</v>
      </c>
      <c r="M123" s="29"/>
      <c r="N123" s="29" t="s">
        <v>320</v>
      </c>
      <c r="O123" s="29"/>
      <c r="P123" s="29" t="s">
        <v>321</v>
      </c>
      <c r="Q123" s="29"/>
      <c r="R123" s="100" t="s">
        <v>47</v>
      </c>
    </row>
    <row r="124" spans="2:18" ht="12.75">
      <c r="B124" s="26"/>
      <c r="C124" s="21"/>
      <c r="D124" s="9"/>
      <c r="E124" s="27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100"/>
    </row>
    <row r="125" spans="2:18" ht="12.75">
      <c r="B125" s="9" t="s">
        <v>461</v>
      </c>
      <c r="C125" s="21"/>
      <c r="D125" s="9"/>
      <c r="E125" s="27"/>
      <c r="F125" s="29" t="s">
        <v>467</v>
      </c>
      <c r="G125" s="29"/>
      <c r="H125" s="29" t="s">
        <v>467</v>
      </c>
      <c r="I125" s="29"/>
      <c r="J125" s="29" t="s">
        <v>467</v>
      </c>
      <c r="K125" s="29"/>
      <c r="L125" s="29" t="s">
        <v>467</v>
      </c>
      <c r="M125" s="29"/>
      <c r="N125" s="29" t="s">
        <v>467</v>
      </c>
      <c r="O125" s="29"/>
      <c r="P125" s="29" t="s">
        <v>467</v>
      </c>
      <c r="Q125" s="29"/>
      <c r="R125" s="29" t="s">
        <v>467</v>
      </c>
    </row>
    <row r="126" spans="2:18" ht="12.75">
      <c r="B126" s="9" t="s">
        <v>462</v>
      </c>
      <c r="C126" s="9"/>
      <c r="D126" s="9"/>
      <c r="E126" s="27"/>
      <c r="F126" s="125" t="s">
        <v>25</v>
      </c>
      <c r="G126" s="125"/>
      <c r="H126" s="125" t="s">
        <v>25</v>
      </c>
      <c r="I126" s="125"/>
      <c r="J126" s="125" t="s">
        <v>25</v>
      </c>
      <c r="K126" s="125"/>
      <c r="L126" s="125" t="s">
        <v>25</v>
      </c>
      <c r="M126" s="125"/>
      <c r="N126" s="125" t="s">
        <v>25</v>
      </c>
      <c r="O126" s="125"/>
      <c r="P126" s="125" t="s">
        <v>25</v>
      </c>
      <c r="Q126" s="125"/>
      <c r="R126" s="125" t="s">
        <v>25</v>
      </c>
    </row>
    <row r="127" spans="2:18" ht="12.75">
      <c r="B127" s="9" t="s">
        <v>474</v>
      </c>
      <c r="C127" s="9"/>
      <c r="D127" s="9"/>
      <c r="E127" s="27"/>
      <c r="F127" s="125" t="s">
        <v>25</v>
      </c>
      <c r="G127" s="125"/>
      <c r="H127" s="125" t="s">
        <v>25</v>
      </c>
      <c r="I127" s="125"/>
      <c r="J127" s="125" t="s">
        <v>25</v>
      </c>
      <c r="K127" s="125"/>
      <c r="L127" s="125" t="s">
        <v>25</v>
      </c>
      <c r="M127" s="125"/>
      <c r="N127" s="125" t="s">
        <v>25</v>
      </c>
      <c r="O127" s="125"/>
      <c r="P127" s="125" t="s">
        <v>25</v>
      </c>
      <c r="Q127" s="125"/>
      <c r="R127" s="125" t="s">
        <v>25</v>
      </c>
    </row>
    <row r="128" spans="2:18" s="49" customFormat="1" ht="12.75">
      <c r="B128" s="49" t="s">
        <v>48</v>
      </c>
      <c r="E128" s="47"/>
      <c r="F128" s="125" t="s">
        <v>25</v>
      </c>
      <c r="G128" s="125"/>
      <c r="H128" s="125" t="s">
        <v>25</v>
      </c>
      <c r="I128" s="125"/>
      <c r="J128" s="125" t="s">
        <v>25</v>
      </c>
      <c r="K128" s="125"/>
      <c r="L128" s="125" t="s">
        <v>25</v>
      </c>
      <c r="M128" s="125"/>
      <c r="N128" s="125" t="s">
        <v>25</v>
      </c>
      <c r="O128" s="125"/>
      <c r="P128" s="125" t="s">
        <v>25</v>
      </c>
      <c r="Q128" s="125"/>
      <c r="R128" s="125" t="s">
        <v>25</v>
      </c>
    </row>
    <row r="129" spans="2:18" ht="12.75">
      <c r="B129" s="9" t="s">
        <v>91</v>
      </c>
      <c r="C129" s="9"/>
      <c r="D129" s="9" t="s">
        <v>53</v>
      </c>
      <c r="E129"/>
      <c r="F129"/>
      <c r="G129"/>
      <c r="H129"/>
      <c r="I129"/>
      <c r="J129"/>
      <c r="K129"/>
      <c r="L129" s="40"/>
      <c r="M129" s="40"/>
      <c r="N129" s="40"/>
      <c r="O129" s="40"/>
      <c r="P129" s="40"/>
      <c r="Q129" s="40"/>
      <c r="R129" s="5"/>
    </row>
    <row r="130" spans="2:18" ht="12.75">
      <c r="B130" s="9" t="s">
        <v>124</v>
      </c>
      <c r="C130" s="9" t="s">
        <v>142</v>
      </c>
      <c r="D130" s="9" t="s">
        <v>53</v>
      </c>
      <c r="E130" s="29"/>
      <c r="F130" s="10"/>
      <c r="G130" s="10"/>
      <c r="H130" s="10"/>
      <c r="I130" s="10"/>
      <c r="J130" s="30"/>
      <c r="K130" s="30"/>
      <c r="L130" s="30"/>
      <c r="M130" s="30"/>
      <c r="N130" s="30"/>
      <c r="O130" s="30"/>
      <c r="P130" s="56"/>
      <c r="Q130" s="56"/>
      <c r="R130" s="5"/>
    </row>
    <row r="131" spans="2:18" ht="12.75">
      <c r="B131" s="9" t="s">
        <v>83</v>
      </c>
      <c r="C131" s="9"/>
      <c r="D131" s="9" t="s">
        <v>53</v>
      </c>
      <c r="E131" s="27"/>
      <c r="F131" s="75">
        <v>15.91</v>
      </c>
      <c r="G131" s="75"/>
      <c r="H131" s="76">
        <v>16.14</v>
      </c>
      <c r="I131" s="76"/>
      <c r="J131" s="76">
        <v>16.07</v>
      </c>
      <c r="K131" s="76"/>
      <c r="L131" s="18"/>
      <c r="M131" s="18"/>
      <c r="N131" s="18"/>
      <c r="O131" s="18"/>
      <c r="P131" s="18"/>
      <c r="Q131" s="18"/>
      <c r="R131" s="60">
        <f>AVERAGE(F131:J131)</f>
        <v>16.04</v>
      </c>
    </row>
    <row r="132" spans="2:18" ht="12.75">
      <c r="B132" s="9" t="s">
        <v>145</v>
      </c>
      <c r="C132" s="9"/>
      <c r="D132" s="9" t="s">
        <v>53</v>
      </c>
      <c r="E132" s="27"/>
      <c r="F132" s="75">
        <v>26.45</v>
      </c>
      <c r="G132" s="75"/>
      <c r="H132" s="77">
        <v>21.32</v>
      </c>
      <c r="I132" s="77"/>
      <c r="J132" s="76">
        <v>12.95</v>
      </c>
      <c r="K132" s="76"/>
      <c r="L132"/>
      <c r="M132"/>
      <c r="N132"/>
      <c r="O132"/>
      <c r="P132"/>
      <c r="Q132"/>
      <c r="R132" s="60">
        <f aca="true" t="shared" si="12" ref="R132:R137">AVERAGE(F132:J132)</f>
        <v>20.24</v>
      </c>
    </row>
    <row r="133" spans="2:18" ht="12.75">
      <c r="B133" s="9" t="s">
        <v>105</v>
      </c>
      <c r="C133" s="9"/>
      <c r="D133" s="9" t="s">
        <v>53</v>
      </c>
      <c r="E133" s="27"/>
      <c r="F133" s="75">
        <v>0.47</v>
      </c>
      <c r="G133" s="75"/>
      <c r="H133" s="75">
        <v>0.3</v>
      </c>
      <c r="I133" s="75"/>
      <c r="J133" s="76">
        <v>0.34</v>
      </c>
      <c r="K133" s="76"/>
      <c r="L133" s="55"/>
      <c r="M133" s="55"/>
      <c r="N133" s="55"/>
      <c r="O133" s="55"/>
      <c r="P133" s="55"/>
      <c r="Q133" s="55"/>
      <c r="R133" s="60">
        <f t="shared" si="12"/>
        <v>0.37000000000000005</v>
      </c>
    </row>
    <row r="134" spans="2:18" ht="12.75">
      <c r="B134" s="9" t="s">
        <v>84</v>
      </c>
      <c r="C134" s="9"/>
      <c r="D134" s="9" t="s">
        <v>53</v>
      </c>
      <c r="E134" s="27"/>
      <c r="F134" s="75">
        <v>0.0002</v>
      </c>
      <c r="G134" s="75"/>
      <c r="H134" s="83">
        <v>0</v>
      </c>
      <c r="I134" s="83"/>
      <c r="J134" s="84">
        <v>0</v>
      </c>
      <c r="K134" s="84"/>
      <c r="L134" s="55"/>
      <c r="M134" s="55"/>
      <c r="N134" s="55"/>
      <c r="O134" s="55"/>
      <c r="P134" s="55"/>
      <c r="Q134" s="55"/>
      <c r="R134" s="60">
        <f t="shared" si="12"/>
        <v>6.666666666666667E-05</v>
      </c>
    </row>
    <row r="135" spans="2:18" ht="12.75">
      <c r="B135" s="9" t="s">
        <v>106</v>
      </c>
      <c r="C135" s="9"/>
      <c r="D135" s="9" t="s">
        <v>53</v>
      </c>
      <c r="E135" s="27"/>
      <c r="F135" s="75">
        <v>1.97</v>
      </c>
      <c r="G135" s="75"/>
      <c r="H135" s="75">
        <v>0.43</v>
      </c>
      <c r="I135" s="75"/>
      <c r="J135" s="76">
        <v>0.27</v>
      </c>
      <c r="K135" s="76"/>
      <c r="L135" s="55"/>
      <c r="M135" s="55"/>
      <c r="N135" s="55"/>
      <c r="O135" s="55"/>
      <c r="P135" s="55"/>
      <c r="Q135" s="55"/>
      <c r="R135" s="60">
        <f t="shared" si="12"/>
        <v>0.89</v>
      </c>
    </row>
    <row r="136" spans="2:18" ht="12.75">
      <c r="B136" s="9" t="s">
        <v>85</v>
      </c>
      <c r="C136" s="9"/>
      <c r="D136" s="9" t="s">
        <v>53</v>
      </c>
      <c r="E136" s="27"/>
      <c r="F136" s="75">
        <v>0.08</v>
      </c>
      <c r="G136" s="75"/>
      <c r="H136" s="75">
        <v>0.041</v>
      </c>
      <c r="I136" s="75"/>
      <c r="J136" s="76">
        <v>0.077</v>
      </c>
      <c r="K136" s="76"/>
      <c r="L136" s="55"/>
      <c r="M136" s="55"/>
      <c r="N136" s="55"/>
      <c r="O136" s="55"/>
      <c r="P136" s="55"/>
      <c r="Q136" s="55"/>
      <c r="R136" s="60">
        <f t="shared" si="12"/>
        <v>0.066</v>
      </c>
    </row>
    <row r="137" spans="2:18" ht="12.75">
      <c r="B137" s="9" t="s">
        <v>107</v>
      </c>
      <c r="C137" s="9"/>
      <c r="D137" s="9" t="s">
        <v>53</v>
      </c>
      <c r="E137" s="27"/>
      <c r="F137" s="75">
        <v>24.01</v>
      </c>
      <c r="G137" s="75"/>
      <c r="H137" s="75">
        <v>37.89</v>
      </c>
      <c r="I137" s="75"/>
      <c r="J137" s="76">
        <v>50.96</v>
      </c>
      <c r="K137" s="76"/>
      <c r="L137" s="55"/>
      <c r="M137" s="55"/>
      <c r="N137" s="55"/>
      <c r="O137" s="55"/>
      <c r="P137" s="55"/>
      <c r="Q137" s="55"/>
      <c r="R137" s="60">
        <f t="shared" si="12"/>
        <v>37.620000000000005</v>
      </c>
    </row>
    <row r="138" spans="2:18" ht="12.75">
      <c r="B138" s="9" t="s">
        <v>473</v>
      </c>
      <c r="C138" s="9"/>
      <c r="D138" s="9" t="s">
        <v>53</v>
      </c>
      <c r="E138" s="27"/>
      <c r="F138" s="75">
        <v>22.81</v>
      </c>
      <c r="G138" s="75"/>
      <c r="H138" s="75">
        <v>1.28</v>
      </c>
      <c r="I138" s="75"/>
      <c r="J138" s="76">
        <v>1.23</v>
      </c>
      <c r="K138" s="76"/>
      <c r="L138" s="55"/>
      <c r="M138" s="55"/>
      <c r="N138" s="55"/>
      <c r="O138" s="55"/>
      <c r="P138" s="55"/>
      <c r="Q138" s="55"/>
      <c r="R138" s="60"/>
    </row>
    <row r="139" spans="2:18" ht="12.75">
      <c r="B139" s="9" t="s">
        <v>49</v>
      </c>
      <c r="C139" s="9" t="s">
        <v>142</v>
      </c>
      <c r="D139" s="9" t="s">
        <v>53</v>
      </c>
      <c r="E139" s="27"/>
      <c r="F139" s="10"/>
      <c r="G139" s="10"/>
      <c r="H139" s="10"/>
      <c r="I139" s="10"/>
      <c r="J139" s="56"/>
      <c r="K139" s="56"/>
      <c r="L139" s="30"/>
      <c r="M139" s="30"/>
      <c r="N139" s="30"/>
      <c r="O139" s="30"/>
      <c r="P139" s="56"/>
      <c r="Q139" s="56"/>
      <c r="R139" s="5"/>
    </row>
    <row r="140" spans="2:18" ht="12.75">
      <c r="B140" s="9" t="s">
        <v>120</v>
      </c>
      <c r="C140" s="9"/>
      <c r="D140" s="9" t="s">
        <v>121</v>
      </c>
      <c r="E140" s="27"/>
      <c r="F140" s="10"/>
      <c r="G140" s="10"/>
      <c r="H140" s="10"/>
      <c r="I140" s="10"/>
      <c r="J140" s="56"/>
      <c r="K140" s="56"/>
      <c r="L140" s="30"/>
      <c r="M140" s="30"/>
      <c r="N140" s="30"/>
      <c r="O140" s="30"/>
      <c r="P140" s="56"/>
      <c r="Q140" s="56"/>
      <c r="R140" s="5"/>
    </row>
    <row r="141" spans="2:18" ht="12.75">
      <c r="B141" s="9" t="s">
        <v>477</v>
      </c>
      <c r="C141" s="9"/>
      <c r="D141" s="9" t="s">
        <v>121</v>
      </c>
      <c r="E141" s="27"/>
      <c r="F141" s="58"/>
      <c r="G141" s="58"/>
      <c r="H141" s="58"/>
      <c r="I141" s="58"/>
      <c r="J141" s="18"/>
      <c r="K141" s="18"/>
      <c r="L141" s="59"/>
      <c r="M141" s="59"/>
      <c r="N141" s="59"/>
      <c r="O141" s="59"/>
      <c r="P141" s="18"/>
      <c r="Q141" s="18"/>
      <c r="R141" s="60"/>
    </row>
    <row r="142" spans="2:18" ht="12" customHeight="1">
      <c r="B142" s="9" t="s">
        <v>178</v>
      </c>
      <c r="C142" s="9"/>
      <c r="D142" s="9" t="s">
        <v>53</v>
      </c>
      <c r="E142" s="27"/>
      <c r="F142" s="72"/>
      <c r="G142" s="72"/>
      <c r="H142" s="73"/>
      <c r="I142" s="73"/>
      <c r="J142" s="55"/>
      <c r="K142" s="55"/>
      <c r="L142" s="55"/>
      <c r="M142" s="55"/>
      <c r="N142" s="55"/>
      <c r="O142" s="55"/>
      <c r="P142" s="55"/>
      <c r="Q142" s="55"/>
      <c r="R142" s="60"/>
    </row>
    <row r="143" spans="2:18" ht="12.75">
      <c r="B143" s="9"/>
      <c r="C143" s="9"/>
      <c r="D143" s="9"/>
      <c r="E143" s="27"/>
      <c r="F143" s="58"/>
      <c r="G143" s="58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60"/>
    </row>
    <row r="144" spans="2:18" ht="12.75">
      <c r="B144" s="9"/>
      <c r="C144" s="9"/>
      <c r="D144" s="9"/>
      <c r="E144" s="27"/>
      <c r="F144" s="10"/>
      <c r="G144" s="10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</row>
    <row r="145" spans="2:18" ht="12.75">
      <c r="B145" s="12" t="s">
        <v>125</v>
      </c>
      <c r="C145" s="2" t="s">
        <v>147</v>
      </c>
      <c r="D145" s="9" t="s">
        <v>17</v>
      </c>
      <c r="E145" s="29"/>
      <c r="F145" s="10">
        <f>'emiss 1'!G227</f>
        <v>53846</v>
      </c>
      <c r="G145" s="10"/>
      <c r="H145" s="27">
        <f>'emiss 1'!I227</f>
        <v>54199</v>
      </c>
      <c r="I145" s="27"/>
      <c r="J145" s="27">
        <f>'emiss 1'!K227</f>
        <v>51735</v>
      </c>
      <c r="K145" s="27"/>
      <c r="L145" s="27"/>
      <c r="M145" s="27"/>
      <c r="N145" s="27"/>
      <c r="O145" s="27"/>
      <c r="P145" s="27"/>
      <c r="Q145" s="27"/>
      <c r="R145" s="40">
        <f>AVERAGE(F145:J145)</f>
        <v>53260</v>
      </c>
    </row>
    <row r="146" spans="2:18" ht="12.75">
      <c r="B146" s="12" t="s">
        <v>66</v>
      </c>
      <c r="D146" s="9" t="s">
        <v>18</v>
      </c>
      <c r="E146" s="29"/>
      <c r="F146" s="10">
        <f>'emiss 1'!G228</f>
        <v>16.2</v>
      </c>
      <c r="G146" s="10"/>
      <c r="H146" s="27">
        <f>'emiss 1'!I228</f>
        <v>15.9</v>
      </c>
      <c r="I146" s="27"/>
      <c r="J146" s="27">
        <f>'emiss 1'!K228</f>
        <v>15.9</v>
      </c>
      <c r="K146" s="27"/>
      <c r="L146" s="27"/>
      <c r="M146" s="27"/>
      <c r="N146" s="27"/>
      <c r="O146" s="27"/>
      <c r="P146" s="27"/>
      <c r="Q146" s="27"/>
      <c r="R146" s="32">
        <f>AVERAGE(F146:J146)</f>
        <v>16</v>
      </c>
    </row>
    <row r="147" spans="2:18" ht="12.75">
      <c r="B147" s="9"/>
      <c r="C147" s="9"/>
      <c r="D147" s="9"/>
      <c r="E147" s="29"/>
      <c r="F147" s="10"/>
      <c r="G147" s="10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</row>
    <row r="148" spans="2:18" ht="12.75">
      <c r="B148" s="44" t="s">
        <v>114</v>
      </c>
      <c r="C148" s="9"/>
      <c r="D148" s="9"/>
      <c r="E148" s="27"/>
      <c r="F148" s="10"/>
      <c r="G148" s="10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</row>
    <row r="149" spans="2:18" ht="12.75">
      <c r="B149" s="9" t="s">
        <v>49</v>
      </c>
      <c r="C149" s="2" t="s">
        <v>142</v>
      </c>
      <c r="D149" s="9" t="s">
        <v>63</v>
      </c>
      <c r="E149" s="27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</row>
    <row r="150" spans="2:18" ht="12.75">
      <c r="B150" s="9"/>
      <c r="D150" s="9"/>
      <c r="E150" s="27"/>
      <c r="F150" s="10"/>
      <c r="G150" s="10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30"/>
    </row>
    <row r="151" spans="2:18" ht="12.75">
      <c r="B151" s="9" t="s">
        <v>124</v>
      </c>
      <c r="C151" s="2" t="s">
        <v>142</v>
      </c>
      <c r="D151" s="9" t="s">
        <v>57</v>
      </c>
      <c r="E151" s="27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</row>
    <row r="152" spans="2:18" ht="12.75">
      <c r="B152" s="9"/>
      <c r="D152" s="9"/>
      <c r="E152" s="27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30"/>
    </row>
    <row r="153" spans="2:18" ht="12.75">
      <c r="B153" s="9" t="s">
        <v>83</v>
      </c>
      <c r="D153" s="9" t="s">
        <v>57</v>
      </c>
      <c r="E153" s="27"/>
      <c r="F153" s="126">
        <f>F131*454000000/60/F$145/0.028317*(21-7)/(21-F$146)</f>
        <v>230282.47727323126</v>
      </c>
      <c r="G153" s="126"/>
      <c r="H153" s="126">
        <f>H131*454000000/60/H$145/0.028317*(21-7)/(21-H$146)</f>
        <v>218437.64111028338</v>
      </c>
      <c r="I153" s="126"/>
      <c r="J153" s="126">
        <f aca="true" t="shared" si="13" ref="J153:J160">J131*454000000/60/J$145/0.028317*(21-7)/(21-J$146)</f>
        <v>227848.7469783848</v>
      </c>
      <c r="K153" s="126"/>
      <c r="L153" s="126"/>
      <c r="M153" s="126"/>
      <c r="N153" s="126"/>
      <c r="O153" s="126"/>
      <c r="P153" s="126"/>
      <c r="Q153" s="126"/>
      <c r="R153" s="126">
        <f>AVERAGE(F153:J153)</f>
        <v>225522.95512063312</v>
      </c>
    </row>
    <row r="154" spans="2:18" ht="12.75">
      <c r="B154" s="9" t="s">
        <v>145</v>
      </c>
      <c r="D154" s="9" t="s">
        <v>57</v>
      </c>
      <c r="E154" s="27"/>
      <c r="F154" s="126">
        <f aca="true" t="shared" si="14" ref="F154:H160">F132*454000000/60/F$145/0.028317*(21-7)/(21-F$146)</f>
        <v>382839.1906899413</v>
      </c>
      <c r="G154" s="126"/>
      <c r="H154" s="126">
        <f t="shared" si="14"/>
        <v>288543.4020118489</v>
      </c>
      <c r="I154" s="126"/>
      <c r="J154" s="126">
        <f t="shared" si="13"/>
        <v>183611.77805663238</v>
      </c>
      <c r="K154" s="126"/>
      <c r="L154" s="127"/>
      <c r="M154" s="127"/>
      <c r="N154" s="127"/>
      <c r="O154" s="127"/>
      <c r="P154" s="127"/>
      <c r="Q154" s="127"/>
      <c r="R154" s="126">
        <f aca="true" t="shared" si="15" ref="R154:R159">AVERAGE(F154:J154)</f>
        <v>284998.12358614086</v>
      </c>
    </row>
    <row r="155" spans="2:18" ht="12.75">
      <c r="B155" s="9" t="s">
        <v>105</v>
      </c>
      <c r="D155" s="9" t="s">
        <v>57</v>
      </c>
      <c r="E155" s="27"/>
      <c r="F155" s="126">
        <f t="shared" si="14"/>
        <v>6802.813596380809</v>
      </c>
      <c r="G155" s="126"/>
      <c r="H155" s="126">
        <f t="shared" si="14"/>
        <v>4060.1792027933707</v>
      </c>
      <c r="I155" s="126"/>
      <c r="J155" s="126">
        <f t="shared" si="13"/>
        <v>4820.695331216603</v>
      </c>
      <c r="K155" s="126"/>
      <c r="L155" s="126"/>
      <c r="M155" s="126"/>
      <c r="N155" s="126"/>
      <c r="O155" s="126"/>
      <c r="P155" s="126"/>
      <c r="Q155" s="126"/>
      <c r="R155" s="126">
        <f t="shared" si="15"/>
        <v>5227.896043463595</v>
      </c>
    </row>
    <row r="156" spans="2:18" ht="12.75">
      <c r="B156" s="9" t="s">
        <v>84</v>
      </c>
      <c r="D156" s="9" t="s">
        <v>57</v>
      </c>
      <c r="E156" s="27"/>
      <c r="F156" s="126">
        <f t="shared" si="14"/>
        <v>2.894814296332259</v>
      </c>
      <c r="G156" s="126"/>
      <c r="H156" s="126">
        <f t="shared" si="14"/>
        <v>0</v>
      </c>
      <c r="I156" s="126"/>
      <c r="J156" s="126">
        <f t="shared" si="13"/>
        <v>0</v>
      </c>
      <c r="K156" s="126"/>
      <c r="L156" s="126"/>
      <c r="M156" s="126"/>
      <c r="N156" s="126"/>
      <c r="O156" s="126"/>
      <c r="P156" s="126"/>
      <c r="Q156" s="126"/>
      <c r="R156" s="126">
        <f t="shared" si="15"/>
        <v>0.9649380987774197</v>
      </c>
    </row>
    <row r="157" spans="2:18" ht="12.75">
      <c r="B157" s="9" t="s">
        <v>106</v>
      </c>
      <c r="D157" s="9" t="s">
        <v>57</v>
      </c>
      <c r="E157" s="27"/>
      <c r="F157" s="126">
        <f t="shared" si="14"/>
        <v>28513.920818872753</v>
      </c>
      <c r="G157" s="126"/>
      <c r="H157" s="126">
        <f t="shared" si="14"/>
        <v>5819.590190670498</v>
      </c>
      <c r="I157" s="126"/>
      <c r="J157" s="126">
        <f t="shared" si="13"/>
        <v>3828.1992336131857</v>
      </c>
      <c r="K157" s="126"/>
      <c r="L157" s="126"/>
      <c r="M157" s="126"/>
      <c r="N157" s="126"/>
      <c r="O157" s="126"/>
      <c r="P157" s="126"/>
      <c r="Q157" s="126"/>
      <c r="R157" s="126">
        <f t="shared" si="15"/>
        <v>12720.570081052147</v>
      </c>
    </row>
    <row r="158" spans="2:18" ht="12.75">
      <c r="B158" s="9" t="s">
        <v>85</v>
      </c>
      <c r="D158" s="9" t="s">
        <v>57</v>
      </c>
      <c r="E158" s="27"/>
      <c r="F158" s="126">
        <f t="shared" si="14"/>
        <v>1157.9257185329036</v>
      </c>
      <c r="G158" s="126"/>
      <c r="H158" s="126">
        <f t="shared" si="14"/>
        <v>554.8911577150941</v>
      </c>
      <c r="I158" s="126"/>
      <c r="J158" s="126">
        <f t="shared" si="13"/>
        <v>1091.7457073637602</v>
      </c>
      <c r="K158" s="126"/>
      <c r="L158" s="126"/>
      <c r="M158" s="126"/>
      <c r="N158" s="126"/>
      <c r="O158" s="126"/>
      <c r="P158" s="126"/>
      <c r="Q158" s="126"/>
      <c r="R158" s="126">
        <f t="shared" si="15"/>
        <v>934.8541945372526</v>
      </c>
    </row>
    <row r="159" spans="2:18" ht="12.75">
      <c r="B159" s="9" t="s">
        <v>107</v>
      </c>
      <c r="D159" s="9" t="s">
        <v>57</v>
      </c>
      <c r="E159" s="27"/>
      <c r="F159" s="126">
        <f t="shared" si="14"/>
        <v>347522.4562746877</v>
      </c>
      <c r="G159" s="126"/>
      <c r="H159" s="126">
        <f t="shared" si="14"/>
        <v>512800.6333128027</v>
      </c>
      <c r="I159" s="126"/>
      <c r="J159" s="126">
        <f t="shared" si="13"/>
        <v>722537.1590552885</v>
      </c>
      <c r="K159" s="126"/>
      <c r="L159" s="126"/>
      <c r="M159" s="126"/>
      <c r="N159" s="126"/>
      <c r="O159" s="126"/>
      <c r="P159" s="126"/>
      <c r="Q159" s="126"/>
      <c r="R159" s="126">
        <f t="shared" si="15"/>
        <v>527620.0828809263</v>
      </c>
    </row>
    <row r="160" spans="2:18" ht="12.75">
      <c r="B160" s="9" t="s">
        <v>473</v>
      </c>
      <c r="D160" s="9" t="s">
        <v>57</v>
      </c>
      <c r="E160" s="27"/>
      <c r="F160" s="126">
        <f t="shared" si="14"/>
        <v>330153.5704966941</v>
      </c>
      <c r="G160" s="126"/>
      <c r="H160" s="126">
        <f t="shared" si="14"/>
        <v>17323.43126525172</v>
      </c>
      <c r="I160" s="126"/>
      <c r="J160" s="126">
        <f t="shared" si="13"/>
        <v>17439.574286460065</v>
      </c>
      <c r="K160" s="126"/>
      <c r="L160" s="126"/>
      <c r="M160" s="126"/>
      <c r="N160" s="126"/>
      <c r="O160" s="126"/>
      <c r="P160" s="126"/>
      <c r="Q160" s="126"/>
      <c r="R160" s="126">
        <f>AVERAGE(F160:J160)</f>
        <v>121638.85868280196</v>
      </c>
    </row>
    <row r="161" spans="2:18" ht="12.75">
      <c r="B161" s="2" t="s">
        <v>58</v>
      </c>
      <c r="D161" s="2" t="s">
        <v>57</v>
      </c>
      <c r="F161" s="128">
        <f aca="true" t="shared" si="16" ref="F161:J162">F153+F157</f>
        <v>258796.398092104</v>
      </c>
      <c r="G161" s="128"/>
      <c r="H161" s="128">
        <f t="shared" si="16"/>
        <v>224257.2313009539</v>
      </c>
      <c r="I161" s="128"/>
      <c r="J161" s="128">
        <f t="shared" si="16"/>
        <v>231676.94621199797</v>
      </c>
      <c r="K161" s="128"/>
      <c r="L161" s="129"/>
      <c r="M161" s="129"/>
      <c r="N161" s="129"/>
      <c r="O161" s="129"/>
      <c r="P161" s="129"/>
      <c r="Q161" s="129"/>
      <c r="R161" s="126">
        <f>AVERAGE(F161:J161)</f>
        <v>238243.5252016853</v>
      </c>
    </row>
    <row r="162" spans="2:18" ht="12.75">
      <c r="B162" s="2" t="s">
        <v>59</v>
      </c>
      <c r="D162" s="2" t="s">
        <v>57</v>
      </c>
      <c r="F162" s="128">
        <f t="shared" si="16"/>
        <v>383997.11640847416</v>
      </c>
      <c r="G162" s="128"/>
      <c r="H162" s="128">
        <f t="shared" si="16"/>
        <v>289098.29316956404</v>
      </c>
      <c r="I162" s="128"/>
      <c r="J162" s="128">
        <f t="shared" si="16"/>
        <v>184703.52376399614</v>
      </c>
      <c r="K162" s="128"/>
      <c r="L162" s="129"/>
      <c r="M162" s="129"/>
      <c r="N162" s="129"/>
      <c r="O162" s="129"/>
      <c r="P162" s="129"/>
      <c r="Q162" s="129"/>
      <c r="R162" s="126">
        <f>AVERAGE(F162:J162)</f>
        <v>285932.9777806781</v>
      </c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7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BB105"/>
  <sheetViews>
    <sheetView workbookViewId="0" topLeftCell="B1">
      <selection activeCell="B2" sqref="B2"/>
    </sheetView>
  </sheetViews>
  <sheetFormatPr defaultColWidth="9.140625" defaultRowHeight="12.75"/>
  <cols>
    <col min="1" max="1" width="9.140625" style="92" hidden="1" customWidth="1"/>
    <col min="2" max="2" width="21.00390625" style="92" customWidth="1"/>
    <col min="3" max="3" width="4.57421875" style="92" customWidth="1"/>
    <col min="4" max="4" width="8.7109375" style="92" customWidth="1"/>
    <col min="5" max="5" width="2.140625" style="92" customWidth="1"/>
    <col min="6" max="6" width="11.28125" style="92" customWidth="1"/>
    <col min="7" max="7" width="2.421875" style="92" customWidth="1"/>
    <col min="8" max="8" width="11.140625" style="92" customWidth="1"/>
    <col min="9" max="9" width="2.140625" style="92" customWidth="1"/>
    <col min="10" max="10" width="12.00390625" style="92" bestFit="1" customWidth="1"/>
    <col min="11" max="11" width="2.28125" style="92" customWidth="1"/>
    <col min="12" max="12" width="10.421875" style="92" customWidth="1"/>
    <col min="13" max="13" width="2.00390625" style="92" customWidth="1"/>
    <col min="14" max="14" width="10.421875" style="92" customWidth="1"/>
    <col min="15" max="15" width="2.00390625" style="92" customWidth="1"/>
    <col min="16" max="16" width="10.421875" style="92" customWidth="1"/>
    <col min="17" max="17" width="2.7109375" style="92" customWidth="1"/>
    <col min="18" max="18" width="10.421875" style="92" customWidth="1"/>
    <col min="19" max="19" width="1.7109375" style="92" customWidth="1"/>
    <col min="20" max="20" width="10.421875" style="92" customWidth="1"/>
    <col min="21" max="21" width="2.421875" style="92" customWidth="1"/>
    <col min="22" max="22" width="12.00390625" style="92" bestFit="1" customWidth="1"/>
    <col min="23" max="23" width="2.140625" style="92" customWidth="1"/>
    <col min="24" max="24" width="11.7109375" style="92" customWidth="1"/>
    <col min="25" max="25" width="2.57421875" style="92" customWidth="1"/>
    <col min="26" max="26" width="10.28125" style="92" customWidth="1"/>
    <col min="27" max="27" width="2.28125" style="92" customWidth="1"/>
    <col min="28" max="28" width="11.140625" style="92" customWidth="1"/>
    <col min="29" max="29" width="1.57421875" style="92" customWidth="1"/>
    <col min="30" max="30" width="12.00390625" style="92" customWidth="1"/>
    <col min="31" max="31" width="2.00390625" style="92" customWidth="1"/>
    <col min="32" max="32" width="12.00390625" style="92" customWidth="1"/>
    <col min="33" max="33" width="2.8515625" style="92" customWidth="1"/>
    <col min="34" max="34" width="12.00390625" style="92" customWidth="1"/>
    <col min="35" max="35" width="2.421875" style="92" customWidth="1"/>
    <col min="36" max="36" width="12.421875" style="92" customWidth="1"/>
    <col min="37" max="37" width="1.8515625" style="92" customWidth="1"/>
    <col min="38" max="38" width="10.8515625" style="92" customWidth="1"/>
    <col min="39" max="39" width="2.140625" style="92" customWidth="1"/>
    <col min="40" max="40" width="10.421875" style="92" customWidth="1"/>
    <col min="41" max="41" width="2.57421875" style="92" customWidth="1"/>
    <col min="42" max="42" width="10.57421875" style="92" bestFit="1" customWidth="1"/>
    <col min="43" max="43" width="2.140625" style="92" customWidth="1"/>
    <col min="44" max="44" width="10.8515625" style="92" customWidth="1"/>
    <col min="45" max="45" width="2.57421875" style="92" customWidth="1"/>
    <col min="46" max="46" width="10.57421875" style="92" customWidth="1"/>
    <col min="47" max="47" width="3.00390625" style="92" customWidth="1"/>
    <col min="48" max="48" width="10.28125" style="92" customWidth="1"/>
    <col min="49" max="49" width="2.140625" style="92" customWidth="1"/>
    <col min="50" max="50" width="9.140625" style="92" customWidth="1"/>
    <col min="51" max="51" width="2.28125" style="92" customWidth="1"/>
    <col min="52" max="52" width="9.140625" style="92" customWidth="1"/>
    <col min="53" max="53" width="1.8515625" style="92" customWidth="1"/>
    <col min="54" max="54" width="10.421875" style="92" customWidth="1"/>
    <col min="55" max="55" width="2.7109375" style="92" customWidth="1"/>
    <col min="56" max="16384" width="9.140625" style="92" customWidth="1"/>
  </cols>
  <sheetData>
    <row r="1" ht="12.75">
      <c r="B1" s="16" t="s">
        <v>388</v>
      </c>
    </row>
    <row r="4" spans="2:48" ht="12.75">
      <c r="B4" s="16" t="s">
        <v>291</v>
      </c>
      <c r="F4" s="99" t="s">
        <v>316</v>
      </c>
      <c r="G4" s="99"/>
      <c r="H4" s="99" t="s">
        <v>317</v>
      </c>
      <c r="I4" s="99"/>
      <c r="J4" s="99" t="s">
        <v>318</v>
      </c>
      <c r="K4" s="99"/>
      <c r="L4" s="99" t="s">
        <v>316</v>
      </c>
      <c r="M4" s="99"/>
      <c r="N4" s="99" t="s">
        <v>317</v>
      </c>
      <c r="O4" s="99"/>
      <c r="P4" s="99" t="s">
        <v>318</v>
      </c>
      <c r="Q4" s="99"/>
      <c r="R4" s="99" t="s">
        <v>316</v>
      </c>
      <c r="S4" s="99"/>
      <c r="T4" s="99" t="s">
        <v>317</v>
      </c>
      <c r="U4" s="99"/>
      <c r="V4" s="99" t="s">
        <v>318</v>
      </c>
      <c r="W4" s="99"/>
      <c r="X4" s="99" t="s">
        <v>316</v>
      </c>
      <c r="Y4" s="99"/>
      <c r="Z4" s="99" t="s">
        <v>317</v>
      </c>
      <c r="AA4" s="99"/>
      <c r="AB4" s="99" t="s">
        <v>318</v>
      </c>
      <c r="AC4" s="99"/>
      <c r="AD4" s="99" t="s">
        <v>316</v>
      </c>
      <c r="AE4" s="99"/>
      <c r="AF4" s="99" t="s">
        <v>317</v>
      </c>
      <c r="AG4" s="99"/>
      <c r="AH4" s="99" t="s">
        <v>318</v>
      </c>
      <c r="AI4" s="99"/>
      <c r="AJ4" s="99" t="s">
        <v>316</v>
      </c>
      <c r="AK4" s="99"/>
      <c r="AL4" s="99" t="s">
        <v>317</v>
      </c>
      <c r="AM4" s="99"/>
      <c r="AN4" s="99" t="s">
        <v>318</v>
      </c>
      <c r="AO4" s="99"/>
      <c r="AP4" s="99" t="s">
        <v>316</v>
      </c>
      <c r="AQ4" s="99"/>
      <c r="AR4" s="99" t="s">
        <v>317</v>
      </c>
      <c r="AS4" s="99"/>
      <c r="AT4" s="99" t="s">
        <v>318</v>
      </c>
      <c r="AU4" s="99"/>
      <c r="AV4" s="99" t="s">
        <v>47</v>
      </c>
    </row>
    <row r="5" spans="2:48" ht="12.75">
      <c r="B5" s="16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</row>
    <row r="6" spans="2:48" ht="12.75">
      <c r="B6" s="9" t="s">
        <v>461</v>
      </c>
      <c r="F6" s="99" t="s">
        <v>467</v>
      </c>
      <c r="G6" s="99"/>
      <c r="H6" s="99" t="s">
        <v>467</v>
      </c>
      <c r="I6" s="99"/>
      <c r="J6" s="99" t="s">
        <v>467</v>
      </c>
      <c r="K6" s="99"/>
      <c r="L6" s="99" t="s">
        <v>468</v>
      </c>
      <c r="M6" s="99"/>
      <c r="N6" s="99" t="s">
        <v>468</v>
      </c>
      <c r="O6" s="99"/>
      <c r="P6" s="99" t="s">
        <v>468</v>
      </c>
      <c r="Q6" s="99"/>
      <c r="R6" s="99" t="s">
        <v>469</v>
      </c>
      <c r="S6" s="99"/>
      <c r="T6" s="99" t="s">
        <v>469</v>
      </c>
      <c r="U6" s="99"/>
      <c r="V6" s="99" t="s">
        <v>469</v>
      </c>
      <c r="W6" s="99"/>
      <c r="X6" s="99" t="s">
        <v>470</v>
      </c>
      <c r="Y6" s="99"/>
      <c r="Z6" s="99" t="s">
        <v>470</v>
      </c>
      <c r="AA6" s="99"/>
      <c r="AB6" s="99" t="s">
        <v>470</v>
      </c>
      <c r="AC6" s="99"/>
      <c r="AD6" s="99"/>
      <c r="AE6" s="99"/>
      <c r="AF6" s="99"/>
      <c r="AG6" s="99"/>
      <c r="AH6" s="99"/>
      <c r="AI6" s="99"/>
      <c r="AJ6" s="99" t="s">
        <v>471</v>
      </c>
      <c r="AK6" s="99"/>
      <c r="AL6" s="99" t="s">
        <v>471</v>
      </c>
      <c r="AM6" s="99"/>
      <c r="AN6" s="99" t="s">
        <v>471</v>
      </c>
      <c r="AO6" s="99"/>
      <c r="AP6" s="99" t="s">
        <v>472</v>
      </c>
      <c r="AQ6" s="99"/>
      <c r="AR6" s="99" t="s">
        <v>472</v>
      </c>
      <c r="AS6" s="99"/>
      <c r="AT6" s="99" t="s">
        <v>472</v>
      </c>
      <c r="AU6" s="99"/>
      <c r="AV6" s="99" t="s">
        <v>472</v>
      </c>
    </row>
    <row r="7" spans="2:48" ht="12.75">
      <c r="B7" s="9" t="s">
        <v>462</v>
      </c>
      <c r="F7" s="99" t="s">
        <v>464</v>
      </c>
      <c r="G7" s="99"/>
      <c r="H7" s="99" t="s">
        <v>464</v>
      </c>
      <c r="I7" s="99"/>
      <c r="J7" s="99" t="s">
        <v>464</v>
      </c>
      <c r="K7" s="99"/>
      <c r="L7" s="99" t="s">
        <v>464</v>
      </c>
      <c r="M7" s="99"/>
      <c r="N7" s="99" t="s">
        <v>464</v>
      </c>
      <c r="O7" s="99"/>
      <c r="P7" s="99" t="s">
        <v>464</v>
      </c>
      <c r="Q7" s="99"/>
      <c r="R7" s="99" t="s">
        <v>464</v>
      </c>
      <c r="S7" s="99"/>
      <c r="T7" s="99" t="s">
        <v>464</v>
      </c>
      <c r="U7" s="99"/>
      <c r="V7" s="99" t="s">
        <v>464</v>
      </c>
      <c r="W7" s="99"/>
      <c r="X7" s="99" t="s">
        <v>465</v>
      </c>
      <c r="Y7" s="99"/>
      <c r="Z7" s="99" t="s">
        <v>465</v>
      </c>
      <c r="AA7" s="99"/>
      <c r="AB7" s="99" t="s">
        <v>465</v>
      </c>
      <c r="AC7" s="99"/>
      <c r="AD7" s="99"/>
      <c r="AE7" s="99"/>
      <c r="AF7" s="99"/>
      <c r="AG7" s="99"/>
      <c r="AH7" s="99"/>
      <c r="AI7" s="99"/>
      <c r="AJ7" s="99" t="s">
        <v>466</v>
      </c>
      <c r="AK7" s="99"/>
      <c r="AL7" s="99" t="s">
        <v>466</v>
      </c>
      <c r="AM7" s="99"/>
      <c r="AN7" s="99" t="s">
        <v>466</v>
      </c>
      <c r="AO7" s="99"/>
      <c r="AP7" s="99" t="s">
        <v>25</v>
      </c>
      <c r="AQ7" s="99"/>
      <c r="AR7" s="99" t="s">
        <v>25</v>
      </c>
      <c r="AS7" s="99"/>
      <c r="AT7" s="99" t="s">
        <v>25</v>
      </c>
      <c r="AU7" s="99"/>
      <c r="AV7" s="99" t="s">
        <v>25</v>
      </c>
    </row>
    <row r="8" spans="2:48" ht="12.75">
      <c r="B8" s="9" t="s">
        <v>474</v>
      </c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 t="s">
        <v>64</v>
      </c>
      <c r="AE8" s="99"/>
      <c r="AF8" s="99" t="s">
        <v>64</v>
      </c>
      <c r="AG8" s="99"/>
      <c r="AH8" s="99" t="s">
        <v>64</v>
      </c>
      <c r="AI8" s="99"/>
      <c r="AJ8" s="99" t="s">
        <v>475</v>
      </c>
      <c r="AK8" s="99"/>
      <c r="AL8" s="99" t="s">
        <v>475</v>
      </c>
      <c r="AM8" s="99"/>
      <c r="AN8" s="99" t="s">
        <v>475</v>
      </c>
      <c r="AO8" s="99"/>
      <c r="AP8" s="99" t="s">
        <v>25</v>
      </c>
      <c r="AQ8" s="99"/>
      <c r="AR8" s="99" t="s">
        <v>25</v>
      </c>
      <c r="AS8" s="99"/>
      <c r="AT8" s="99" t="s">
        <v>25</v>
      </c>
      <c r="AU8" s="99"/>
      <c r="AV8" s="99" t="s">
        <v>25</v>
      </c>
    </row>
    <row r="9" spans="2:48" ht="12.75">
      <c r="B9" s="12" t="s">
        <v>48</v>
      </c>
      <c r="F9" s="92" t="s">
        <v>334</v>
      </c>
      <c r="H9" s="92" t="s">
        <v>334</v>
      </c>
      <c r="J9" s="92" t="s">
        <v>334</v>
      </c>
      <c r="L9" s="92" t="s">
        <v>335</v>
      </c>
      <c r="N9" s="92" t="s">
        <v>335</v>
      </c>
      <c r="P9" s="92" t="s">
        <v>335</v>
      </c>
      <c r="R9" s="92" t="s">
        <v>336</v>
      </c>
      <c r="T9" s="92" t="s">
        <v>336</v>
      </c>
      <c r="V9" s="92" t="s">
        <v>336</v>
      </c>
      <c r="X9" s="92" t="s">
        <v>337</v>
      </c>
      <c r="Z9" s="92" t="s">
        <v>337</v>
      </c>
      <c r="AB9" s="92" t="s">
        <v>337</v>
      </c>
      <c r="AJ9" s="99" t="s">
        <v>338</v>
      </c>
      <c r="AK9" s="99"/>
      <c r="AL9" s="99" t="s">
        <v>338</v>
      </c>
      <c r="AM9" s="99"/>
      <c r="AN9" s="99" t="s">
        <v>338</v>
      </c>
      <c r="AO9" s="99"/>
      <c r="AP9" s="99" t="s">
        <v>25</v>
      </c>
      <c r="AQ9" s="99"/>
      <c r="AR9" s="99" t="s">
        <v>25</v>
      </c>
      <c r="AS9" s="99"/>
      <c r="AT9" s="99" t="s">
        <v>25</v>
      </c>
      <c r="AU9" s="99"/>
      <c r="AV9" s="99" t="s">
        <v>25</v>
      </c>
    </row>
    <row r="10" spans="2:41" ht="12.75">
      <c r="B10" s="92" t="s">
        <v>91</v>
      </c>
      <c r="D10" s="92" t="s">
        <v>53</v>
      </c>
      <c r="F10" s="131">
        <v>5012</v>
      </c>
      <c r="G10" s="131"/>
      <c r="H10" s="131">
        <v>4851</v>
      </c>
      <c r="I10" s="131"/>
      <c r="J10" s="131">
        <v>4781</v>
      </c>
      <c r="K10" s="131"/>
      <c r="L10" s="131">
        <v>1817</v>
      </c>
      <c r="M10" s="131"/>
      <c r="N10" s="131">
        <v>1947</v>
      </c>
      <c r="O10" s="131"/>
      <c r="P10" s="131">
        <v>1829</v>
      </c>
      <c r="Q10" s="131"/>
      <c r="R10" s="131">
        <v>1341</v>
      </c>
      <c r="S10" s="131"/>
      <c r="T10" s="131">
        <v>1014</v>
      </c>
      <c r="U10" s="131"/>
      <c r="V10" s="131">
        <v>997</v>
      </c>
      <c r="W10" s="131"/>
      <c r="X10" s="131">
        <v>1174</v>
      </c>
      <c r="Y10" s="131"/>
      <c r="Z10" s="131">
        <v>767</v>
      </c>
      <c r="AA10" s="131"/>
      <c r="AB10" s="131">
        <v>715</v>
      </c>
      <c r="AC10" s="131"/>
      <c r="AD10" s="131"/>
      <c r="AE10" s="131"/>
      <c r="AF10" s="131"/>
      <c r="AG10" s="131"/>
      <c r="AH10" s="131"/>
      <c r="AI10" s="131"/>
      <c r="AJ10" s="131">
        <v>5286</v>
      </c>
      <c r="AK10" s="131"/>
      <c r="AL10" s="131">
        <v>6153</v>
      </c>
      <c r="AM10" s="131"/>
      <c r="AN10" s="131">
        <v>6247</v>
      </c>
      <c r="AO10" s="93"/>
    </row>
    <row r="11" spans="2:41" ht="12.75">
      <c r="B11" s="92" t="s">
        <v>463</v>
      </c>
      <c r="D11" s="92" t="s">
        <v>339</v>
      </c>
      <c r="F11" s="131">
        <v>19748</v>
      </c>
      <c r="G11" s="131"/>
      <c r="H11" s="131">
        <v>19705</v>
      </c>
      <c r="I11" s="131"/>
      <c r="J11" s="131">
        <v>19663</v>
      </c>
      <c r="K11" s="131"/>
      <c r="L11" s="131">
        <v>2858</v>
      </c>
      <c r="M11" s="131"/>
      <c r="N11" s="131">
        <v>3053</v>
      </c>
      <c r="O11" s="131"/>
      <c r="P11" s="131">
        <v>2717</v>
      </c>
      <c r="Q11" s="131"/>
      <c r="R11" s="131"/>
      <c r="S11" s="131"/>
      <c r="T11" s="131"/>
      <c r="U11" s="131"/>
      <c r="V11" s="131"/>
      <c r="W11" s="131"/>
      <c r="X11" s="131">
        <v>250</v>
      </c>
      <c r="Y11" s="131"/>
      <c r="Z11" s="131">
        <v>250</v>
      </c>
      <c r="AA11" s="131"/>
      <c r="AB11" s="131">
        <v>250</v>
      </c>
      <c r="AC11" s="131"/>
      <c r="AD11" s="131"/>
      <c r="AE11" s="131"/>
      <c r="AF11" s="131"/>
      <c r="AG11" s="131"/>
      <c r="AH11" s="131"/>
      <c r="AI11" s="131"/>
      <c r="AJ11" s="131">
        <v>6600</v>
      </c>
      <c r="AK11" s="131"/>
      <c r="AL11" s="131">
        <v>600</v>
      </c>
      <c r="AM11" s="131"/>
      <c r="AN11" s="131">
        <v>600</v>
      </c>
      <c r="AO11" s="93"/>
    </row>
    <row r="12" spans="2:41" ht="12.75">
      <c r="B12" s="92" t="s">
        <v>49</v>
      </c>
      <c r="D12" s="92" t="s">
        <v>340</v>
      </c>
      <c r="F12" s="93">
        <v>0.007</v>
      </c>
      <c r="G12" s="93"/>
      <c r="H12" s="93">
        <v>0.006</v>
      </c>
      <c r="I12" s="93"/>
      <c r="J12" s="93">
        <v>0.005</v>
      </c>
      <c r="K12" s="93"/>
      <c r="L12" s="93">
        <v>0.16</v>
      </c>
      <c r="M12" s="93"/>
      <c r="N12" s="93">
        <v>0.36</v>
      </c>
      <c r="O12" s="93"/>
      <c r="P12" s="93">
        <v>0.36</v>
      </c>
      <c r="Q12" s="93"/>
      <c r="R12" s="93">
        <v>14.2</v>
      </c>
      <c r="S12" s="93"/>
      <c r="T12" s="93">
        <v>11.53</v>
      </c>
      <c r="U12" s="93"/>
      <c r="V12" s="93">
        <v>11.62</v>
      </c>
      <c r="W12" s="93"/>
      <c r="X12" s="93">
        <v>25.7</v>
      </c>
      <c r="Y12" s="93"/>
      <c r="Z12" s="93">
        <v>27.3</v>
      </c>
      <c r="AA12" s="93"/>
      <c r="AB12" s="93">
        <v>29.9</v>
      </c>
      <c r="AC12" s="93"/>
      <c r="AD12" s="93"/>
      <c r="AE12" s="93"/>
      <c r="AF12" s="93"/>
      <c r="AG12" s="93"/>
      <c r="AH12" s="93"/>
      <c r="AI12" s="93"/>
      <c r="AJ12" s="93">
        <v>11.8</v>
      </c>
      <c r="AK12" s="93"/>
      <c r="AL12" s="93">
        <v>11.8</v>
      </c>
      <c r="AM12" s="93"/>
      <c r="AN12" s="93">
        <v>11.8</v>
      </c>
      <c r="AO12" s="93"/>
    </row>
    <row r="13" spans="2:41" ht="12.75">
      <c r="B13" s="92" t="s">
        <v>124</v>
      </c>
      <c r="D13" s="92" t="s">
        <v>340</v>
      </c>
      <c r="F13" s="93">
        <v>0.01</v>
      </c>
      <c r="G13" s="93"/>
      <c r="H13" s="93">
        <v>0.025</v>
      </c>
      <c r="I13" s="93"/>
      <c r="J13" s="93">
        <v>0.01</v>
      </c>
      <c r="K13" s="93"/>
      <c r="L13" s="93">
        <v>0.08</v>
      </c>
      <c r="M13" s="93"/>
      <c r="N13" s="93">
        <v>0.11</v>
      </c>
      <c r="O13" s="93"/>
      <c r="P13" s="93">
        <v>0.1</v>
      </c>
      <c r="Q13" s="93"/>
      <c r="R13" s="93"/>
      <c r="S13" s="93"/>
      <c r="T13" s="93"/>
      <c r="U13" s="93"/>
      <c r="V13" s="93"/>
      <c r="W13" s="93"/>
      <c r="X13" s="93">
        <v>0.02</v>
      </c>
      <c r="Y13" s="93"/>
      <c r="Z13" s="93">
        <v>0.01</v>
      </c>
      <c r="AA13" s="93"/>
      <c r="AB13" s="93">
        <v>0.01</v>
      </c>
      <c r="AC13" s="93"/>
      <c r="AD13" s="93"/>
      <c r="AE13" s="93"/>
      <c r="AF13" s="93"/>
      <c r="AG13" s="93"/>
      <c r="AH13" s="93"/>
      <c r="AI13" s="93"/>
      <c r="AJ13" s="93">
        <v>48.13</v>
      </c>
      <c r="AK13" s="93"/>
      <c r="AL13" s="93">
        <v>48.13</v>
      </c>
      <c r="AM13" s="93"/>
      <c r="AN13" s="93">
        <v>48.13</v>
      </c>
      <c r="AO13" s="93"/>
    </row>
    <row r="14" spans="6:41" ht="12.75"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</row>
    <row r="16" spans="2:46" ht="12.75">
      <c r="B16" s="12" t="s">
        <v>125</v>
      </c>
      <c r="D16" s="92" t="s">
        <v>17</v>
      </c>
      <c r="F16" s="92">
        <f>'emiss 2'!$G$28</f>
        <v>54938</v>
      </c>
      <c r="H16" s="92">
        <f>'emiss 2'!$I$28</f>
        <v>52947</v>
      </c>
      <c r="J16" s="92">
        <f>'emiss 2'!$K$28</f>
        <v>55821</v>
      </c>
      <c r="L16" s="92">
        <f>'emiss 2'!$G$28</f>
        <v>54938</v>
      </c>
      <c r="N16" s="92">
        <f>'emiss 2'!$I$28</f>
        <v>52947</v>
      </c>
      <c r="P16" s="92">
        <f>'emiss 2'!$K$28</f>
        <v>55821</v>
      </c>
      <c r="R16" s="92">
        <f>'emiss 2'!$G$28</f>
        <v>54938</v>
      </c>
      <c r="T16" s="92">
        <f>'emiss 2'!$I$28</f>
        <v>52947</v>
      </c>
      <c r="V16" s="92">
        <f>'emiss 2'!$K$28</f>
        <v>55821</v>
      </c>
      <c r="X16" s="92">
        <f>'emiss 2'!$G$28</f>
        <v>54938</v>
      </c>
      <c r="Z16" s="92">
        <f>'emiss 2'!$I$28</f>
        <v>52947</v>
      </c>
      <c r="AB16" s="92">
        <f>'emiss 2'!$K$28</f>
        <v>55821</v>
      </c>
      <c r="AJ16" s="92">
        <f>'emiss 2'!$G$28</f>
        <v>54938</v>
      </c>
      <c r="AL16" s="92">
        <f>'emiss 2'!$I$28</f>
        <v>52947</v>
      </c>
      <c r="AN16" s="92">
        <f>'emiss 2'!$K$28</f>
        <v>55821</v>
      </c>
      <c r="AP16" s="92">
        <f>'emiss 2'!$G$28</f>
        <v>54938</v>
      </c>
      <c r="AR16" s="92">
        <f>'emiss 2'!$I$28</f>
        <v>52947</v>
      </c>
      <c r="AT16" s="92">
        <f>'emiss 2'!$K$28</f>
        <v>55821</v>
      </c>
    </row>
    <row r="17" spans="2:46" ht="12.75">
      <c r="B17" s="12" t="s">
        <v>66</v>
      </c>
      <c r="D17" s="92" t="s">
        <v>18</v>
      </c>
      <c r="F17" s="92">
        <f>'emiss 2'!$G$29</f>
        <v>11.3</v>
      </c>
      <c r="H17" s="92">
        <f>'emiss 2'!$I$29</f>
        <v>11.33</v>
      </c>
      <c r="J17" s="92">
        <f>'emiss 2'!$K$29</f>
        <v>11.76</v>
      </c>
      <c r="L17" s="92">
        <f>'emiss 2'!$G$29</f>
        <v>11.3</v>
      </c>
      <c r="N17" s="92">
        <f>'emiss 2'!$I$29</f>
        <v>11.33</v>
      </c>
      <c r="P17" s="92">
        <f>'emiss 2'!$K$29</f>
        <v>11.76</v>
      </c>
      <c r="R17" s="92">
        <f>'emiss 2'!$G$29</f>
        <v>11.3</v>
      </c>
      <c r="T17" s="92">
        <f>'emiss 2'!$I$29</f>
        <v>11.33</v>
      </c>
      <c r="V17" s="92">
        <f>'emiss 2'!$K$29</f>
        <v>11.76</v>
      </c>
      <c r="X17" s="92">
        <f>'emiss 2'!$G$29</f>
        <v>11.3</v>
      </c>
      <c r="Z17" s="92">
        <f>'emiss 2'!$I$29</f>
        <v>11.33</v>
      </c>
      <c r="AB17" s="92">
        <f>'emiss 2'!$K$29</f>
        <v>11.76</v>
      </c>
      <c r="AJ17" s="92">
        <f>'emiss 2'!$G$29</f>
        <v>11.3</v>
      </c>
      <c r="AL17" s="92">
        <f>'emiss 2'!$I$29</f>
        <v>11.33</v>
      </c>
      <c r="AN17" s="92">
        <f>'emiss 2'!$K$29</f>
        <v>11.76</v>
      </c>
      <c r="AP17" s="92">
        <f>'emiss 2'!$G$29</f>
        <v>11.3</v>
      </c>
      <c r="AR17" s="92">
        <f>'emiss 2'!$I$29</f>
        <v>11.33</v>
      </c>
      <c r="AT17" s="92">
        <f>'emiss 2'!$K$29</f>
        <v>11.76</v>
      </c>
    </row>
    <row r="19" ht="12.75">
      <c r="B19" s="109" t="s">
        <v>114</v>
      </c>
    </row>
    <row r="20" spans="2:48" ht="12.75">
      <c r="B20" s="92" t="s">
        <v>49</v>
      </c>
      <c r="D20" s="92" t="s">
        <v>63</v>
      </c>
      <c r="F20" s="94">
        <f>F12/100*F10*454/60/0.0283/F16*(21-7)/(21-F17)*1000</f>
        <v>2.464397307756545</v>
      </c>
      <c r="G20" s="94"/>
      <c r="H20" s="94">
        <f>H12/100*H10*454/60/0.0283/H16*(21-7)/(21-H17)*1000</f>
        <v>2.1279474350216807</v>
      </c>
      <c r="I20" s="94"/>
      <c r="J20" s="94">
        <f>J12/100*J10*454/60/0.0283/J16*(21-7)/(21-J17)*1000</f>
        <v>1.7348637282698345</v>
      </c>
      <c r="K20" s="94"/>
      <c r="L20" s="94">
        <f>L12/100*L10*454/60/0.0283/L16*(21-7)/(21-L17)*1000</f>
        <v>20.42097780501034</v>
      </c>
      <c r="M20" s="94"/>
      <c r="N20" s="94">
        <f>N12/100*N10*454/60/0.0283/N16*(21-7)/(21-N17)*1000</f>
        <v>51.24444843521599</v>
      </c>
      <c r="O20" s="94"/>
      <c r="P20" s="94">
        <f>P12/100*P10*454/60/0.0283/P16*(21-7)/(21-P17)*1000</f>
        <v>47.785135881279636</v>
      </c>
      <c r="Q20" s="94"/>
      <c r="R20" s="94">
        <f>R12/100*R10*454/60/0.0283/R16*(21-7)/(21-R17)*1000</f>
        <v>1337.5768559389376</v>
      </c>
      <c r="S20" s="94"/>
      <c r="T20" s="94">
        <f>T12/100*T10*454/60/0.0283/T16*(21-7)/(21-T17)*1000</f>
        <v>854.7628393032772</v>
      </c>
      <c r="U20" s="94"/>
      <c r="V20" s="94">
        <f>V12/100*V10*454/60/0.0283/V16*(21-7)/(21-V17)*1000</f>
        <v>840.7713521408906</v>
      </c>
      <c r="W20" s="94"/>
      <c r="X20" s="94">
        <f>X12/100*X10*454/60/0.0283/X16*(21-7)/(21-X17)*1000</f>
        <v>2119.350777852267</v>
      </c>
      <c r="Y20" s="94"/>
      <c r="Z20" s="94">
        <f>Z12/100*Z10*454/60/0.0283/Z16*(21-7)/(21-Z17)*1000</f>
        <v>1530.8631944156698</v>
      </c>
      <c r="AA20" s="94"/>
      <c r="AB20" s="94">
        <f>AB12/100*AB10*454/60/0.0283/AB16*(21-7)/(21-AB17)*1000</f>
        <v>1551.5073923788605</v>
      </c>
      <c r="AC20" s="94"/>
      <c r="AD20" s="94">
        <f>SUM(X20,R20,L20,F20)</f>
        <v>3479.8130089039714</v>
      </c>
      <c r="AE20" s="94"/>
      <c r="AF20" s="94">
        <f>SUM(Z20,T20,N20,H20)</f>
        <v>2438.9984295891845</v>
      </c>
      <c r="AG20" s="94"/>
      <c r="AH20" s="94">
        <f>SUM(AB20,V20,P20,J20)</f>
        <v>2441.7987441293003</v>
      </c>
      <c r="AI20" s="94"/>
      <c r="AJ20" s="94">
        <f>AJ12/100*AJ10*454/60/0.0283/AJ16*(21-7)/(21-AJ17)*1000</f>
        <v>4381.378668106629</v>
      </c>
      <c r="AK20" s="94"/>
      <c r="AL20" s="94">
        <f>AL12/100*AL10*454/60/0.0283/AL16*(21-7)/(21-AL17)*1000</f>
        <v>5308.200188920608</v>
      </c>
      <c r="AM20" s="94"/>
      <c r="AN20" s="94">
        <f>AN12/100*AN10*454/60/0.0283/AN16*(21-7)/(21-AN17)*1000</f>
        <v>5349.7086711532975</v>
      </c>
      <c r="AO20" s="94"/>
      <c r="AP20" s="94">
        <f>SUM(R20,L20,F20,AJ20,X20)</f>
        <v>7861.191677010601</v>
      </c>
      <c r="AQ20" s="94"/>
      <c r="AR20" s="94">
        <f>SUM(T20,N20,H20,AL20,Z20)</f>
        <v>7747.198618509792</v>
      </c>
      <c r="AS20" s="94"/>
      <c r="AT20" s="94">
        <f>SUM(V20,P20,J20,AN20,AB20)</f>
        <v>7791.507415282598</v>
      </c>
      <c r="AU20" s="94"/>
      <c r="AV20" s="94">
        <f>AVERAGE(AT20,AR20,AP20)</f>
        <v>7799.965903600997</v>
      </c>
    </row>
    <row r="21" spans="2:48" ht="12.75">
      <c r="B21" s="92" t="s">
        <v>124</v>
      </c>
      <c r="D21" s="92" t="s">
        <v>57</v>
      </c>
      <c r="F21" s="131">
        <f>F13/100*F10*454/60/0.0283/F$16*(21-7)/(21-F$17)*1000000</f>
        <v>3520.567582509351</v>
      </c>
      <c r="G21" s="131"/>
      <c r="H21" s="131">
        <f>H13/100*H10*454/60/0.0283/H$16*(21-7)/(21-H$17)*1000000</f>
        <v>8866.447645923672</v>
      </c>
      <c r="I21" s="131"/>
      <c r="J21" s="131">
        <f>J13/100*J10*454/60/0.0283/J$16*(21-7)/(21-J$17)*1000000</f>
        <v>3469.727456539669</v>
      </c>
      <c r="K21" s="131"/>
      <c r="L21" s="131">
        <f>L13/100*L10*454/60/0.0283/L$16*(21-7)/(21-L$17)*1000000</f>
        <v>10210.48890250517</v>
      </c>
      <c r="M21" s="131"/>
      <c r="N21" s="131">
        <f>N13/100*N10*454/60/0.0283/N$16*(21-7)/(21-N$17)*1000000</f>
        <v>15658.025910760442</v>
      </c>
      <c r="O21" s="131"/>
      <c r="P21" s="131">
        <f>P13/100*P10*454/60/0.0283/P$16*(21-7)/(21-P$17)*1000000</f>
        <v>13273.648855911013</v>
      </c>
      <c r="Q21" s="131"/>
      <c r="R21" s="131">
        <f>R13/100*R10*454/60/0.0283/R$16*(21-7)/(21-R$17)*1000000</f>
        <v>0</v>
      </c>
      <c r="S21" s="131"/>
      <c r="T21" s="131">
        <f>T13/100*T10*454/60/0.0283/T$16*(21-7)/(21-T$17)*1000000</f>
        <v>0</v>
      </c>
      <c r="U21" s="131"/>
      <c r="V21" s="131">
        <f>V13/100*V10*454/60/0.0283/V$16*(21-7)/(21-V$17)*1000000</f>
        <v>0</v>
      </c>
      <c r="W21" s="131"/>
      <c r="X21" s="131">
        <f>X13/100*X10*454/60/0.0283/X$16*(21-7)/(21-X$17)*1000000</f>
        <v>1649.3002162274452</v>
      </c>
      <c r="Y21" s="131"/>
      <c r="Z21" s="131">
        <f>Z13/100*Z10*454/60/0.0283/Z$16*(21-7)/(21-Z$17)*1000000</f>
        <v>560.7557488702087</v>
      </c>
      <c r="AA21" s="131"/>
      <c r="AB21" s="131">
        <f>AB13/100*AB10*454/60/0.0283/AB$16*(21-7)/(21-AB$17)*1000000</f>
        <v>518.8987934377461</v>
      </c>
      <c r="AC21" s="131"/>
      <c r="AD21" s="131">
        <f>SUM(X21,R21,L21,F21)</f>
        <v>15380.356701241968</v>
      </c>
      <c r="AE21" s="131"/>
      <c r="AF21" s="131">
        <f>SUM(Z21,T21,N21,H21)</f>
        <v>25085.229305554323</v>
      </c>
      <c r="AG21" s="131"/>
      <c r="AH21" s="131">
        <f>SUM(AB21,V21,P21,J21)</f>
        <v>17262.275105888428</v>
      </c>
      <c r="AI21" s="131"/>
      <c r="AJ21" s="131">
        <f>AJ13/100*AJ10*454/60/0.0283/AJ$16*(21-7)/(21-AJ$17)*1000000</f>
        <v>17870826.719997633</v>
      </c>
      <c r="AK21" s="131"/>
      <c r="AL21" s="131">
        <f>AL13/100*AL10*454/60/0.0283/AL$16*(21-7)/(21-AL$17)*1000000</f>
        <v>21651158.906165153</v>
      </c>
      <c r="AM21" s="131"/>
      <c r="AN21" s="131">
        <f>AN13/100*AN10*454/60/0.0283/AN$16*(21-7)/(21-AN$17)*1000000</f>
        <v>21820464.26632273</v>
      </c>
      <c r="AO21" s="131"/>
      <c r="AP21" s="131">
        <f>SUM(R21,L21,F21,AJ21,X21)</f>
        <v>17886207.076698877</v>
      </c>
      <c r="AQ21" s="131"/>
      <c r="AR21" s="131">
        <f>SUM(T21,N21,H21,AL21,Z21)</f>
        <v>21676244.135470707</v>
      </c>
      <c r="AS21" s="131"/>
      <c r="AT21" s="131">
        <f>SUM(V21,P21,J21,AN21,AB21)</f>
        <v>21837726.541428614</v>
      </c>
      <c r="AU21" s="131"/>
      <c r="AV21" s="131">
        <f>AVERAGE(AT21,AR21,AP21)</f>
        <v>20466725.917866066</v>
      </c>
    </row>
    <row r="23" spans="2:48" ht="12.75">
      <c r="B23" s="16" t="s">
        <v>294</v>
      </c>
      <c r="C23" s="16"/>
      <c r="F23" s="99" t="s">
        <v>316</v>
      </c>
      <c r="G23" s="99"/>
      <c r="H23" s="99" t="s">
        <v>317</v>
      </c>
      <c r="I23" s="99"/>
      <c r="J23" s="99" t="s">
        <v>318</v>
      </c>
      <c r="K23" s="99"/>
      <c r="L23" s="99" t="s">
        <v>316</v>
      </c>
      <c r="M23" s="99"/>
      <c r="N23" s="99" t="s">
        <v>317</v>
      </c>
      <c r="O23" s="99"/>
      <c r="P23" s="99" t="s">
        <v>318</v>
      </c>
      <c r="Q23" s="99"/>
      <c r="R23" s="99" t="s">
        <v>316</v>
      </c>
      <c r="S23" s="99"/>
      <c r="T23" s="99" t="s">
        <v>317</v>
      </c>
      <c r="U23" s="99"/>
      <c r="V23" s="99" t="s">
        <v>318</v>
      </c>
      <c r="W23" s="99"/>
      <c r="X23" s="99" t="s">
        <v>316</v>
      </c>
      <c r="Y23" s="99"/>
      <c r="Z23" s="99" t="s">
        <v>317</v>
      </c>
      <c r="AA23" s="99"/>
      <c r="AB23" s="99" t="s">
        <v>318</v>
      </c>
      <c r="AC23" s="99"/>
      <c r="AD23" s="99" t="s">
        <v>316</v>
      </c>
      <c r="AE23" s="99"/>
      <c r="AF23" s="99" t="s">
        <v>317</v>
      </c>
      <c r="AG23" s="99"/>
      <c r="AH23" s="99" t="s">
        <v>318</v>
      </c>
      <c r="AI23" s="99"/>
      <c r="AJ23" s="99" t="s">
        <v>316</v>
      </c>
      <c r="AK23" s="99"/>
      <c r="AL23" s="99" t="s">
        <v>317</v>
      </c>
      <c r="AM23" s="99"/>
      <c r="AN23" s="99" t="s">
        <v>318</v>
      </c>
      <c r="AO23" s="99"/>
      <c r="AP23" s="99" t="s">
        <v>316</v>
      </c>
      <c r="AQ23" s="99"/>
      <c r="AR23" s="99" t="s">
        <v>317</v>
      </c>
      <c r="AS23" s="99"/>
      <c r="AT23" s="99" t="s">
        <v>318</v>
      </c>
      <c r="AU23" s="99"/>
      <c r="AV23" s="99" t="s">
        <v>47</v>
      </c>
    </row>
    <row r="24" spans="2:48" ht="12.75">
      <c r="B24" s="16"/>
      <c r="C24" s="16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</row>
    <row r="25" spans="2:48" ht="12.75">
      <c r="B25" s="9" t="s">
        <v>461</v>
      </c>
      <c r="F25" s="99" t="s">
        <v>467</v>
      </c>
      <c r="G25" s="99"/>
      <c r="H25" s="99" t="s">
        <v>467</v>
      </c>
      <c r="I25" s="99"/>
      <c r="J25" s="99" t="s">
        <v>467</v>
      </c>
      <c r="K25" s="99"/>
      <c r="L25" s="99" t="s">
        <v>468</v>
      </c>
      <c r="M25" s="99"/>
      <c r="N25" s="99" t="s">
        <v>468</v>
      </c>
      <c r="O25" s="99"/>
      <c r="P25" s="99" t="s">
        <v>468</v>
      </c>
      <c r="Q25" s="99"/>
      <c r="R25" s="99" t="s">
        <v>469</v>
      </c>
      <c r="S25" s="99"/>
      <c r="T25" s="99" t="s">
        <v>469</v>
      </c>
      <c r="U25" s="99"/>
      <c r="V25" s="99" t="s">
        <v>469</v>
      </c>
      <c r="W25" s="99"/>
      <c r="X25" s="99" t="s">
        <v>470</v>
      </c>
      <c r="Y25" s="99"/>
      <c r="Z25" s="99" t="s">
        <v>470</v>
      </c>
      <c r="AA25" s="99"/>
      <c r="AB25" s="99" t="s">
        <v>470</v>
      </c>
      <c r="AC25" s="99"/>
      <c r="AD25" s="99"/>
      <c r="AE25" s="99"/>
      <c r="AF25" s="99"/>
      <c r="AG25" s="99"/>
      <c r="AH25" s="99"/>
      <c r="AI25" s="99"/>
      <c r="AJ25" s="99" t="s">
        <v>471</v>
      </c>
      <c r="AK25" s="99"/>
      <c r="AL25" s="99" t="s">
        <v>471</v>
      </c>
      <c r="AM25" s="99"/>
      <c r="AN25" s="99" t="s">
        <v>471</v>
      </c>
      <c r="AO25" s="99"/>
      <c r="AP25" s="99" t="s">
        <v>472</v>
      </c>
      <c r="AQ25" s="99"/>
      <c r="AR25" s="99" t="s">
        <v>472</v>
      </c>
      <c r="AS25" s="99"/>
      <c r="AT25" s="99" t="s">
        <v>472</v>
      </c>
      <c r="AU25" s="99"/>
      <c r="AV25" s="99" t="s">
        <v>472</v>
      </c>
    </row>
    <row r="26" spans="2:48" ht="12.75">
      <c r="B26" s="9" t="s">
        <v>462</v>
      </c>
      <c r="F26" s="99" t="s">
        <v>464</v>
      </c>
      <c r="G26" s="99"/>
      <c r="H26" s="99" t="s">
        <v>464</v>
      </c>
      <c r="I26" s="99"/>
      <c r="J26" s="99" t="s">
        <v>464</v>
      </c>
      <c r="K26" s="99"/>
      <c r="L26" s="99" t="s">
        <v>464</v>
      </c>
      <c r="M26" s="99"/>
      <c r="N26" s="99" t="s">
        <v>464</v>
      </c>
      <c r="O26" s="99"/>
      <c r="P26" s="99" t="s">
        <v>464</v>
      </c>
      <c r="Q26" s="99"/>
      <c r="R26" s="99" t="s">
        <v>464</v>
      </c>
      <c r="S26" s="99"/>
      <c r="T26" s="99" t="s">
        <v>464</v>
      </c>
      <c r="U26" s="99"/>
      <c r="V26" s="99" t="s">
        <v>464</v>
      </c>
      <c r="W26" s="99"/>
      <c r="X26" s="99" t="s">
        <v>465</v>
      </c>
      <c r="Y26" s="99"/>
      <c r="Z26" s="99" t="s">
        <v>465</v>
      </c>
      <c r="AA26" s="99"/>
      <c r="AB26" s="99" t="s">
        <v>465</v>
      </c>
      <c r="AC26" s="99"/>
      <c r="AD26" s="99"/>
      <c r="AE26" s="99"/>
      <c r="AF26" s="99"/>
      <c r="AG26" s="99"/>
      <c r="AH26" s="99"/>
      <c r="AI26" s="99"/>
      <c r="AJ26" s="99" t="s">
        <v>466</v>
      </c>
      <c r="AK26" s="99"/>
      <c r="AL26" s="99" t="s">
        <v>466</v>
      </c>
      <c r="AM26" s="99"/>
      <c r="AN26" s="99" t="s">
        <v>466</v>
      </c>
      <c r="AO26" s="99"/>
      <c r="AP26" s="99" t="s">
        <v>25</v>
      </c>
      <c r="AQ26" s="99"/>
      <c r="AR26" s="99" t="s">
        <v>25</v>
      </c>
      <c r="AS26" s="99"/>
      <c r="AT26" s="99" t="s">
        <v>25</v>
      </c>
      <c r="AU26" s="99"/>
      <c r="AV26" s="99" t="s">
        <v>25</v>
      </c>
    </row>
    <row r="27" spans="2:48" ht="12.75">
      <c r="B27" s="9" t="s">
        <v>474</v>
      </c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 t="s">
        <v>64</v>
      </c>
      <c r="AE27" s="99"/>
      <c r="AF27" s="99" t="s">
        <v>64</v>
      </c>
      <c r="AG27" s="99"/>
      <c r="AH27" s="99" t="s">
        <v>64</v>
      </c>
      <c r="AI27" s="99"/>
      <c r="AJ27" s="99" t="s">
        <v>475</v>
      </c>
      <c r="AK27" s="99"/>
      <c r="AL27" s="99" t="s">
        <v>475</v>
      </c>
      <c r="AM27" s="99"/>
      <c r="AN27" s="99" t="s">
        <v>475</v>
      </c>
      <c r="AO27" s="99"/>
      <c r="AP27" s="99" t="s">
        <v>25</v>
      </c>
      <c r="AQ27" s="99"/>
      <c r="AR27" s="99" t="s">
        <v>25</v>
      </c>
      <c r="AS27" s="99"/>
      <c r="AT27" s="99" t="s">
        <v>25</v>
      </c>
      <c r="AU27" s="99"/>
      <c r="AV27" s="99" t="s">
        <v>25</v>
      </c>
    </row>
    <row r="28" spans="2:48" ht="12.75">
      <c r="B28" s="12" t="s">
        <v>48</v>
      </c>
      <c r="F28" s="92" t="s">
        <v>334</v>
      </c>
      <c r="H28" s="92" t="s">
        <v>334</v>
      </c>
      <c r="J28" s="92" t="s">
        <v>334</v>
      </c>
      <c r="L28" s="92" t="s">
        <v>335</v>
      </c>
      <c r="N28" s="92" t="s">
        <v>335</v>
      </c>
      <c r="P28" s="92" t="s">
        <v>335</v>
      </c>
      <c r="R28" s="92" t="s">
        <v>336</v>
      </c>
      <c r="T28" s="92" t="s">
        <v>336</v>
      </c>
      <c r="V28" s="92" t="s">
        <v>336</v>
      </c>
      <c r="X28" s="92" t="s">
        <v>337</v>
      </c>
      <c r="Z28" s="92" t="s">
        <v>337</v>
      </c>
      <c r="AB28" s="92" t="s">
        <v>337</v>
      </c>
      <c r="AJ28" s="99" t="s">
        <v>338</v>
      </c>
      <c r="AK28" s="99"/>
      <c r="AL28" s="99" t="s">
        <v>338</v>
      </c>
      <c r="AM28" s="99"/>
      <c r="AN28" s="99" t="s">
        <v>338</v>
      </c>
      <c r="AO28" s="99"/>
      <c r="AP28" s="99" t="s">
        <v>25</v>
      </c>
      <c r="AQ28" s="99"/>
      <c r="AR28" s="99" t="s">
        <v>25</v>
      </c>
      <c r="AS28" s="99"/>
      <c r="AT28" s="99" t="s">
        <v>25</v>
      </c>
      <c r="AU28" s="99"/>
      <c r="AV28" s="99" t="s">
        <v>25</v>
      </c>
    </row>
    <row r="29" spans="2:41" ht="12.75">
      <c r="B29" s="92" t="s">
        <v>91</v>
      </c>
      <c r="D29" s="92" t="s">
        <v>53</v>
      </c>
      <c r="F29" s="131">
        <v>4694</v>
      </c>
      <c r="G29" s="131"/>
      <c r="H29" s="131">
        <v>5090</v>
      </c>
      <c r="I29" s="131"/>
      <c r="J29" s="131">
        <v>4795</v>
      </c>
      <c r="K29" s="131"/>
      <c r="L29" s="131">
        <v>4953</v>
      </c>
      <c r="M29" s="131"/>
      <c r="N29" s="131">
        <v>4720</v>
      </c>
      <c r="O29" s="131"/>
      <c r="P29" s="131">
        <v>4951</v>
      </c>
      <c r="Q29" s="131"/>
      <c r="R29" s="131">
        <v>5305</v>
      </c>
      <c r="S29" s="131"/>
      <c r="T29" s="131">
        <v>5153</v>
      </c>
      <c r="U29" s="131"/>
      <c r="V29" s="131">
        <v>5260</v>
      </c>
      <c r="W29" s="131"/>
      <c r="X29" s="131">
        <v>10251</v>
      </c>
      <c r="Y29" s="131"/>
      <c r="Z29" s="131">
        <v>9906</v>
      </c>
      <c r="AA29" s="131"/>
      <c r="AB29" s="131">
        <v>8668</v>
      </c>
      <c r="AC29" s="131"/>
      <c r="AD29" s="131"/>
      <c r="AE29" s="131"/>
      <c r="AF29" s="131"/>
      <c r="AG29" s="131"/>
      <c r="AH29" s="131"/>
      <c r="AI29" s="131"/>
      <c r="AJ29" s="131">
        <v>7860</v>
      </c>
      <c r="AK29" s="131"/>
      <c r="AL29" s="131">
        <v>8057</v>
      </c>
      <c r="AM29" s="131"/>
      <c r="AN29" s="131">
        <v>7393</v>
      </c>
      <c r="AO29" s="93"/>
    </row>
    <row r="30" spans="2:41" ht="12.75">
      <c r="B30" s="92" t="s">
        <v>463</v>
      </c>
      <c r="D30" s="92" t="s">
        <v>339</v>
      </c>
      <c r="F30" s="131">
        <v>19770</v>
      </c>
      <c r="G30" s="131"/>
      <c r="H30" s="131">
        <v>19372</v>
      </c>
      <c r="I30" s="131"/>
      <c r="J30" s="131">
        <v>16661</v>
      </c>
      <c r="K30" s="131"/>
      <c r="L30" s="131">
        <v>6120</v>
      </c>
      <c r="M30" s="131"/>
      <c r="N30" s="131">
        <v>6120</v>
      </c>
      <c r="O30" s="131"/>
      <c r="P30" s="131">
        <v>6120</v>
      </c>
      <c r="Q30" s="131"/>
      <c r="R30" s="131"/>
      <c r="S30" s="131"/>
      <c r="T30" s="131"/>
      <c r="U30" s="131"/>
      <c r="V30" s="131"/>
      <c r="W30" s="131"/>
      <c r="X30" s="131">
        <v>250</v>
      </c>
      <c r="Y30" s="131"/>
      <c r="Z30" s="131">
        <v>250</v>
      </c>
      <c r="AA30" s="131"/>
      <c r="AB30" s="131">
        <v>250</v>
      </c>
      <c r="AC30" s="131"/>
      <c r="AD30" s="131"/>
      <c r="AE30" s="131"/>
      <c r="AF30" s="131"/>
      <c r="AG30" s="131"/>
      <c r="AH30" s="131"/>
      <c r="AI30" s="131"/>
      <c r="AJ30" s="131">
        <v>250</v>
      </c>
      <c r="AK30" s="131"/>
      <c r="AL30" s="131">
        <v>250</v>
      </c>
      <c r="AM30" s="131"/>
      <c r="AN30" s="131">
        <v>250</v>
      </c>
      <c r="AO30" s="93"/>
    </row>
    <row r="31" spans="2:41" ht="12.75">
      <c r="B31" s="92" t="s">
        <v>49</v>
      </c>
      <c r="D31" s="92" t="s">
        <v>340</v>
      </c>
      <c r="F31" s="93">
        <v>0.005</v>
      </c>
      <c r="G31" s="93"/>
      <c r="H31" s="93">
        <v>0.005</v>
      </c>
      <c r="I31" s="93"/>
      <c r="J31" s="93">
        <v>0.005</v>
      </c>
      <c r="K31" s="93"/>
      <c r="L31" s="93"/>
      <c r="M31" s="93"/>
      <c r="N31" s="93"/>
      <c r="O31" s="93"/>
      <c r="P31" s="93"/>
      <c r="Q31" s="93"/>
      <c r="R31" s="93">
        <v>9.46</v>
      </c>
      <c r="S31" s="93"/>
      <c r="T31" s="93">
        <v>8.65</v>
      </c>
      <c r="U31" s="93"/>
      <c r="V31" s="93">
        <v>8.65</v>
      </c>
      <c r="W31" s="93"/>
      <c r="X31" s="93">
        <v>24.1</v>
      </c>
      <c r="Y31" s="93"/>
      <c r="Z31" s="93">
        <v>27.4</v>
      </c>
      <c r="AA31" s="93"/>
      <c r="AB31" s="93">
        <v>22.7</v>
      </c>
      <c r="AC31" s="93"/>
      <c r="AD31" s="93"/>
      <c r="AE31" s="93"/>
      <c r="AF31" s="93"/>
      <c r="AG31" s="93"/>
      <c r="AH31" s="93"/>
      <c r="AI31" s="93"/>
      <c r="AJ31" s="93">
        <v>35.8</v>
      </c>
      <c r="AK31" s="93"/>
      <c r="AL31" s="93">
        <v>33.1</v>
      </c>
      <c r="AM31" s="93"/>
      <c r="AN31" s="93">
        <v>33</v>
      </c>
      <c r="AO31" s="93"/>
    </row>
    <row r="32" spans="2:41" ht="12.75">
      <c r="B32" s="92" t="s">
        <v>124</v>
      </c>
      <c r="D32" s="92" t="s">
        <v>340</v>
      </c>
      <c r="F32" s="93">
        <v>0.07</v>
      </c>
      <c r="G32" s="93"/>
      <c r="H32" s="93">
        <v>0.06</v>
      </c>
      <c r="I32" s="93"/>
      <c r="J32" s="93">
        <v>0.09</v>
      </c>
      <c r="K32" s="93"/>
      <c r="L32" s="93">
        <v>58.7</v>
      </c>
      <c r="M32" s="93"/>
      <c r="N32" s="93">
        <v>58.7</v>
      </c>
      <c r="O32" s="93"/>
      <c r="P32" s="93">
        <v>58.7</v>
      </c>
      <c r="Q32" s="93"/>
      <c r="R32" s="93"/>
      <c r="S32" s="93"/>
      <c r="T32" s="93"/>
      <c r="U32" s="93"/>
      <c r="V32" s="93"/>
      <c r="W32" s="93"/>
      <c r="X32" s="93">
        <v>0.05</v>
      </c>
      <c r="Y32" s="93"/>
      <c r="Z32" s="93">
        <v>0.09</v>
      </c>
      <c r="AA32" s="93"/>
      <c r="AB32" s="93">
        <v>0.06</v>
      </c>
      <c r="AC32" s="93"/>
      <c r="AD32" s="93"/>
      <c r="AE32" s="93"/>
      <c r="AF32" s="93"/>
      <c r="AG32" s="93"/>
      <c r="AH32" s="93"/>
      <c r="AI32" s="93"/>
      <c r="AJ32" s="93">
        <v>0.01</v>
      </c>
      <c r="AK32" s="93"/>
      <c r="AL32" s="93">
        <v>0.01</v>
      </c>
      <c r="AM32" s="93"/>
      <c r="AN32" s="93">
        <v>0.01</v>
      </c>
      <c r="AO32" s="93"/>
    </row>
    <row r="34" spans="2:40" ht="12.75">
      <c r="B34" s="12" t="s">
        <v>125</v>
      </c>
      <c r="D34" s="92" t="s">
        <v>17</v>
      </c>
      <c r="F34" s="131">
        <f>'emiss 2'!$G$65</f>
        <v>46967</v>
      </c>
      <c r="G34" s="131"/>
      <c r="H34" s="131">
        <f>'emiss 2'!$I$65</f>
        <v>51037</v>
      </c>
      <c r="I34" s="131"/>
      <c r="J34" s="131">
        <f>'emiss 2'!$K$65</f>
        <v>57331</v>
      </c>
      <c r="K34" s="131"/>
      <c r="L34" s="131">
        <f>'emiss 2'!$G$65</f>
        <v>46967</v>
      </c>
      <c r="M34" s="131"/>
      <c r="N34" s="131">
        <f>'emiss 2'!$I$65</f>
        <v>51037</v>
      </c>
      <c r="O34" s="131"/>
      <c r="P34" s="131">
        <f>'emiss 2'!$K$65</f>
        <v>57331</v>
      </c>
      <c r="Q34" s="131"/>
      <c r="R34" s="131">
        <f>'emiss 2'!$G$65</f>
        <v>46967</v>
      </c>
      <c r="S34" s="131"/>
      <c r="T34" s="131">
        <f>'emiss 2'!$I$65</f>
        <v>51037</v>
      </c>
      <c r="U34" s="131"/>
      <c r="V34" s="131">
        <f>'emiss 2'!$K$65</f>
        <v>57331</v>
      </c>
      <c r="W34" s="131"/>
      <c r="X34" s="131">
        <f>'emiss 2'!$G$65</f>
        <v>46967</v>
      </c>
      <c r="Y34" s="131"/>
      <c r="Z34" s="131">
        <f>'emiss 2'!$I$65</f>
        <v>51037</v>
      </c>
      <c r="AA34" s="131"/>
      <c r="AB34" s="131">
        <f>'emiss 2'!$K$65</f>
        <v>57331</v>
      </c>
      <c r="AC34" s="131"/>
      <c r="AD34" s="131"/>
      <c r="AE34" s="131"/>
      <c r="AF34" s="131"/>
      <c r="AG34" s="131"/>
      <c r="AH34" s="131"/>
      <c r="AI34" s="131"/>
      <c r="AJ34" s="131">
        <f>'emiss 2'!$G$65</f>
        <v>46967</v>
      </c>
      <c r="AK34" s="131"/>
      <c r="AL34" s="131">
        <f>'emiss 2'!$I$65</f>
        <v>51037</v>
      </c>
      <c r="AM34" s="131"/>
      <c r="AN34" s="131">
        <f>'emiss 2'!$K$65</f>
        <v>57331</v>
      </c>
    </row>
    <row r="35" spans="2:40" ht="12.75">
      <c r="B35" s="12" t="s">
        <v>66</v>
      </c>
      <c r="D35" s="92" t="s">
        <v>18</v>
      </c>
      <c r="F35" s="92">
        <f>'emiss 2'!$G$66</f>
        <v>10.77</v>
      </c>
      <c r="H35" s="92">
        <f>'emiss 2'!$I$66</f>
        <v>11.39</v>
      </c>
      <c r="J35" s="92">
        <f>'emiss 2'!$K$66</f>
        <v>12.77</v>
      </c>
      <c r="L35" s="92">
        <f>'emiss 2'!$G$66</f>
        <v>10.77</v>
      </c>
      <c r="N35" s="92">
        <f>'emiss 2'!$I$66</f>
        <v>11.39</v>
      </c>
      <c r="P35" s="92">
        <f>'emiss 2'!$K$66</f>
        <v>12.77</v>
      </c>
      <c r="R35" s="92">
        <f>'emiss 2'!$G$66</f>
        <v>10.77</v>
      </c>
      <c r="T35" s="92">
        <f>'emiss 2'!$I$66</f>
        <v>11.39</v>
      </c>
      <c r="V35" s="92">
        <f>'emiss 2'!$K$66</f>
        <v>12.77</v>
      </c>
      <c r="X35" s="92">
        <f>'emiss 2'!$G$66</f>
        <v>10.77</v>
      </c>
      <c r="Z35" s="92">
        <f>'emiss 2'!$I$66</f>
        <v>11.39</v>
      </c>
      <c r="AB35" s="92">
        <f>'emiss 2'!$K$66</f>
        <v>12.77</v>
      </c>
      <c r="AJ35" s="92">
        <f>'emiss 2'!$G$66</f>
        <v>10.77</v>
      </c>
      <c r="AL35" s="92">
        <f>'emiss 2'!$I$66</f>
        <v>11.39</v>
      </c>
      <c r="AN35" s="92">
        <f>'emiss 2'!$K$66</f>
        <v>12.77</v>
      </c>
    </row>
    <row r="37" ht="12.75">
      <c r="B37" s="109" t="s">
        <v>114</v>
      </c>
    </row>
    <row r="38" spans="2:48" ht="12.75">
      <c r="B38" s="92" t="s">
        <v>49</v>
      </c>
      <c r="D38" s="92" t="s">
        <v>63</v>
      </c>
      <c r="F38" s="131">
        <f>F31/100*F29*454/60/0.0283/F34*(21-7)/(21-F35)*1000</f>
        <v>1.8284826249954211</v>
      </c>
      <c r="G38" s="131"/>
      <c r="H38" s="131">
        <f>H31/100*H29*454/60/0.0283/H34*(21-7)/(21-H35)*1000</f>
        <v>1.9423409364591016</v>
      </c>
      <c r="I38" s="131"/>
      <c r="J38" s="131">
        <f>J31/100*J29*454/60/0.0283/J34*(21-7)/(21-J35)*1000</f>
        <v>1.9020216945143849</v>
      </c>
      <c r="K38" s="131"/>
      <c r="L38" s="132">
        <f>L31/100*L29*454/60/0.0283/L34*(21-7)/(21-L35)*1000</f>
        <v>0</v>
      </c>
      <c r="M38" s="132"/>
      <c r="N38" s="132">
        <f>N31/100*N29*454/60/0.0283/N34*(21-7)/(21-N35)*1000</f>
        <v>0</v>
      </c>
      <c r="O38" s="132"/>
      <c r="P38" s="132">
        <f>P31/100*P29*454/60/0.0283/P34*(21-7)/(21-P35)*1000</f>
        <v>0</v>
      </c>
      <c r="Q38" s="131"/>
      <c r="R38" s="131">
        <f>R31/100*R29*454/60/0.0283/R34*(21-7)/(21-R35)*1000</f>
        <v>3909.797574784095</v>
      </c>
      <c r="S38" s="131"/>
      <c r="T38" s="131">
        <f>T31/100*T29*454/60/0.0283/T34*(21-7)/(21-T35)*1000</f>
        <v>3401.8403384759504</v>
      </c>
      <c r="U38" s="131"/>
      <c r="V38" s="131">
        <f>V31/100*V29*454/60/0.0283/V34*(21-7)/(21-V35)*1000</f>
        <v>3609.596875024399</v>
      </c>
      <c r="W38" s="131"/>
      <c r="X38" s="131">
        <f>X31/100*X29*454/60/0.0283/X34*(21-7)/(21-X35)*1000</f>
        <v>19246.910390743764</v>
      </c>
      <c r="Y38" s="131"/>
      <c r="Z38" s="131">
        <f>Z31/100*Z29*454/60/0.0283/Z34*(21-7)/(21-Z35)*1000</f>
        <v>20715.07753531825</v>
      </c>
      <c r="AA38" s="131"/>
      <c r="AB38" s="131">
        <f>AB31/100*AB29*454/60/0.0283/AB34*(21-7)/(21-AB35)*1000</f>
        <v>15609.95353037541</v>
      </c>
      <c r="AC38" s="131"/>
      <c r="AD38" s="131">
        <f>SUM(X38,R38,L38,F38)</f>
        <v>23158.536448152852</v>
      </c>
      <c r="AE38" s="131"/>
      <c r="AF38" s="131">
        <f>SUM(Z38,T38,N38,H38)</f>
        <v>24118.860214730663</v>
      </c>
      <c r="AG38" s="131"/>
      <c r="AH38" s="131">
        <f>SUM(AB38,V38,P38,J38)</f>
        <v>19221.452427094322</v>
      </c>
      <c r="AI38" s="131"/>
      <c r="AJ38" s="131">
        <f>AJ31/100*AJ29*454/60/0.0283/AJ34*(21-7)/(21-AJ35)*1000</f>
        <v>21922.15887866261</v>
      </c>
      <c r="AK38" s="131"/>
      <c r="AL38" s="131">
        <f>AL31/100*AL29*454/60/0.0283/AL34*(21-7)/(21-AL35)*1000</f>
        <v>20353.49684161837</v>
      </c>
      <c r="AM38" s="131"/>
      <c r="AN38" s="131">
        <f>AN31/100*AN29*454/60/0.0283/AN34*(21-7)/(21-AN35)*1000</f>
        <v>19354.925163252545</v>
      </c>
      <c r="AO38" s="131"/>
      <c r="AP38" s="131">
        <f>SUM(R38,L38,F38,AJ38,X38)</f>
        <v>45080.69532681546</v>
      </c>
      <c r="AQ38" s="131"/>
      <c r="AR38" s="131">
        <f>SUM(T38,N38,H38,AL38,Z38)</f>
        <v>44472.35705634903</v>
      </c>
      <c r="AS38" s="131"/>
      <c r="AT38" s="131">
        <f>SUM(V38,P38,J38,AN38,AB38)</f>
        <v>38576.37759034686</v>
      </c>
      <c r="AU38" s="131"/>
      <c r="AV38" s="131">
        <f>AVERAGE(AT38,AR38,AP38)</f>
        <v>42709.809991170456</v>
      </c>
    </row>
    <row r="39" spans="2:48" ht="12.75">
      <c r="B39" s="92" t="s">
        <v>124</v>
      </c>
      <c r="D39" s="92" t="s">
        <v>57</v>
      </c>
      <c r="F39" s="131">
        <f aca="true" t="shared" si="0" ref="F39:P39">F32/100*F29*454/60/0.0283/F$34*(21-7)/(21-F$35)*1000000</f>
        <v>25598.756749935892</v>
      </c>
      <c r="G39" s="131"/>
      <c r="H39" s="131">
        <f t="shared" si="0"/>
        <v>23308.091237509212</v>
      </c>
      <c r="I39" s="131"/>
      <c r="J39" s="131">
        <f t="shared" si="0"/>
        <v>34236.390501258924</v>
      </c>
      <c r="K39" s="131"/>
      <c r="L39" s="131">
        <f t="shared" si="0"/>
        <v>22650832.966427624</v>
      </c>
      <c r="M39" s="131"/>
      <c r="N39" s="131">
        <f t="shared" si="0"/>
        <v>21145491.128452044</v>
      </c>
      <c r="O39" s="131"/>
      <c r="P39" s="131">
        <f t="shared" si="0"/>
        <v>23056207.813974567</v>
      </c>
      <c r="Q39" s="131"/>
      <c r="R39" s="131">
        <f>R32/100*R29*454/60/0.0283/R$16*(21-7)/(21-R$17)*1000000</f>
        <v>0</v>
      </c>
      <c r="S39" s="131"/>
      <c r="T39" s="131">
        <f>T32/100*T29*454/60/0.0283/T$16*(21-7)/(21-T$17)*1000000</f>
        <v>0</v>
      </c>
      <c r="U39" s="131"/>
      <c r="V39" s="131">
        <f>V32/100*V29*454/60/0.0283/V$16*(21-7)/(21-V$17)*1000000</f>
        <v>0</v>
      </c>
      <c r="W39" s="131"/>
      <c r="X39" s="131">
        <f>X32/100*X29*454/60/0.0283/X$34*(21-7)/(21-X$35)*1000000</f>
        <v>39931.34935838956</v>
      </c>
      <c r="Y39" s="131"/>
      <c r="Z39" s="131">
        <f>Z32/100*Z29*454/60/0.0283/Z$34*(21-7)/(21-Z$35)*1000000</f>
        <v>68042.2254809724</v>
      </c>
      <c r="AA39" s="131"/>
      <c r="AB39" s="131">
        <f>AB32/100*AB29*454/60/0.0283/AB$34*(21-7)/(21-AB$35)*1000000</f>
        <v>41259.78906707157</v>
      </c>
      <c r="AC39" s="131"/>
      <c r="AD39" s="131">
        <f>SUM(X39,R39,L39,F39)</f>
        <v>22716363.07253595</v>
      </c>
      <c r="AE39" s="131"/>
      <c r="AF39" s="131">
        <f>SUM(Z39,T39,N39,H39)</f>
        <v>21236841.445170525</v>
      </c>
      <c r="AG39" s="131"/>
      <c r="AH39" s="131">
        <f>SUM(AB39,V39,P39,J39)</f>
        <v>23131703.9935429</v>
      </c>
      <c r="AI39" s="131"/>
      <c r="AJ39" s="131">
        <f>AJ32/100*AJ29*454/60/0.0283/AJ$34*(21-7)/(21-AJ$35)*1000000</f>
        <v>6123.508066665533</v>
      </c>
      <c r="AK39" s="131"/>
      <c r="AL39" s="131">
        <f>AL32/100*AL29*454/60/0.0283/AL$34*(21-7)/(21-AL$35)*1000000</f>
        <v>6149.092701395277</v>
      </c>
      <c r="AM39" s="131"/>
      <c r="AN39" s="131">
        <f>AN32/100*AN29*454/60/0.0283/AN$34*(21-7)/(21-AN$35)*1000000</f>
        <v>5865.128837349256</v>
      </c>
      <c r="AO39" s="131"/>
      <c r="AP39" s="131">
        <f>SUM(R39,L39,F39,AJ39,X39)</f>
        <v>22722486.580602616</v>
      </c>
      <c r="AQ39" s="131"/>
      <c r="AR39" s="131">
        <f>SUM(T39,N39,H39,AL39,Z39)</f>
        <v>21242990.53787192</v>
      </c>
      <c r="AS39" s="131"/>
      <c r="AT39" s="131">
        <f>SUM(V39,P39,J39,AN39,AB39)</f>
        <v>23137569.12238025</v>
      </c>
      <c r="AU39" s="131"/>
      <c r="AV39" s="131">
        <f>AVERAGE(AT39,AR39,AP39)</f>
        <v>22367682.080284927</v>
      </c>
    </row>
    <row r="41" spans="2:48" ht="12.75">
      <c r="B41" s="16" t="s">
        <v>297</v>
      </c>
      <c r="C41" s="16"/>
      <c r="F41" s="99" t="s">
        <v>316</v>
      </c>
      <c r="G41" s="99"/>
      <c r="H41" s="99" t="s">
        <v>317</v>
      </c>
      <c r="I41" s="99"/>
      <c r="J41" s="99" t="s">
        <v>318</v>
      </c>
      <c r="K41" s="99"/>
      <c r="L41" s="99" t="s">
        <v>316</v>
      </c>
      <c r="M41" s="99"/>
      <c r="N41" s="99" t="s">
        <v>317</v>
      </c>
      <c r="O41" s="99"/>
      <c r="P41" s="99" t="s">
        <v>318</v>
      </c>
      <c r="Q41" s="99"/>
      <c r="R41" s="99" t="s">
        <v>316</v>
      </c>
      <c r="S41" s="99"/>
      <c r="T41" s="99" t="s">
        <v>317</v>
      </c>
      <c r="U41" s="99"/>
      <c r="V41" s="99" t="s">
        <v>318</v>
      </c>
      <c r="W41" s="99"/>
      <c r="X41" s="99" t="s">
        <v>316</v>
      </c>
      <c r="Y41" s="99"/>
      <c r="Z41" s="99" t="s">
        <v>317</v>
      </c>
      <c r="AA41" s="99"/>
      <c r="AB41" s="99" t="s">
        <v>318</v>
      </c>
      <c r="AC41" s="99"/>
      <c r="AD41" s="99" t="s">
        <v>316</v>
      </c>
      <c r="AE41" s="99"/>
      <c r="AF41" s="99" t="s">
        <v>317</v>
      </c>
      <c r="AG41" s="99"/>
      <c r="AH41" s="99" t="s">
        <v>318</v>
      </c>
      <c r="AI41" s="99"/>
      <c r="AJ41" s="99" t="s">
        <v>316</v>
      </c>
      <c r="AK41" s="99"/>
      <c r="AL41" s="99" t="s">
        <v>317</v>
      </c>
      <c r="AM41" s="99"/>
      <c r="AN41" s="99" t="s">
        <v>318</v>
      </c>
      <c r="AO41" s="99"/>
      <c r="AP41" s="99" t="s">
        <v>316</v>
      </c>
      <c r="AQ41" s="99"/>
      <c r="AR41" s="99" t="s">
        <v>317</v>
      </c>
      <c r="AS41" s="99"/>
      <c r="AT41" s="99" t="s">
        <v>318</v>
      </c>
      <c r="AU41" s="99"/>
      <c r="AV41" s="99" t="s">
        <v>47</v>
      </c>
    </row>
    <row r="42" spans="2:48" ht="12.75">
      <c r="B42" s="16"/>
      <c r="C42" s="16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</row>
    <row r="43" spans="2:48" ht="12.75">
      <c r="B43" s="9" t="s">
        <v>461</v>
      </c>
      <c r="F43" s="99" t="s">
        <v>467</v>
      </c>
      <c r="G43" s="99"/>
      <c r="H43" s="99" t="s">
        <v>467</v>
      </c>
      <c r="I43" s="99"/>
      <c r="J43" s="99" t="s">
        <v>467</v>
      </c>
      <c r="K43" s="99"/>
      <c r="L43" s="99" t="s">
        <v>468</v>
      </c>
      <c r="M43" s="99"/>
      <c r="N43" s="99" t="s">
        <v>468</v>
      </c>
      <c r="O43" s="99"/>
      <c r="P43" s="99" t="s">
        <v>468</v>
      </c>
      <c r="Q43" s="99"/>
      <c r="R43" s="99" t="s">
        <v>469</v>
      </c>
      <c r="S43" s="99"/>
      <c r="T43" s="99" t="s">
        <v>469</v>
      </c>
      <c r="U43" s="99"/>
      <c r="V43" s="99" t="s">
        <v>469</v>
      </c>
      <c r="W43" s="99"/>
      <c r="X43" s="99" t="s">
        <v>470</v>
      </c>
      <c r="Y43" s="99"/>
      <c r="Z43" s="99" t="s">
        <v>470</v>
      </c>
      <c r="AA43" s="99"/>
      <c r="AB43" s="99" t="s">
        <v>470</v>
      </c>
      <c r="AC43" s="99"/>
      <c r="AD43" s="99"/>
      <c r="AE43" s="99"/>
      <c r="AF43" s="99"/>
      <c r="AG43" s="99"/>
      <c r="AH43" s="99"/>
      <c r="AI43" s="99"/>
      <c r="AJ43" s="99" t="s">
        <v>471</v>
      </c>
      <c r="AK43" s="99"/>
      <c r="AL43" s="99" t="s">
        <v>471</v>
      </c>
      <c r="AM43" s="99"/>
      <c r="AN43" s="99" t="s">
        <v>471</v>
      </c>
      <c r="AO43" s="99"/>
      <c r="AP43" s="99" t="s">
        <v>472</v>
      </c>
      <c r="AQ43" s="99"/>
      <c r="AR43" s="99" t="s">
        <v>472</v>
      </c>
      <c r="AS43" s="99"/>
      <c r="AT43" s="99" t="s">
        <v>472</v>
      </c>
      <c r="AU43" s="99"/>
      <c r="AV43" s="99" t="s">
        <v>472</v>
      </c>
    </row>
    <row r="44" spans="2:48" ht="12.75">
      <c r="B44" s="9" t="s">
        <v>462</v>
      </c>
      <c r="F44" s="99" t="s">
        <v>464</v>
      </c>
      <c r="G44" s="99"/>
      <c r="H44" s="99" t="s">
        <v>464</v>
      </c>
      <c r="I44" s="99"/>
      <c r="J44" s="99" t="s">
        <v>464</v>
      </c>
      <c r="K44" s="99"/>
      <c r="L44" s="99" t="s">
        <v>464</v>
      </c>
      <c r="M44" s="99"/>
      <c r="N44" s="99" t="s">
        <v>464</v>
      </c>
      <c r="O44" s="99"/>
      <c r="P44" s="99" t="s">
        <v>464</v>
      </c>
      <c r="Q44" s="99"/>
      <c r="R44" s="99" t="s">
        <v>464</v>
      </c>
      <c r="S44" s="99"/>
      <c r="T44" s="99" t="s">
        <v>464</v>
      </c>
      <c r="U44" s="99"/>
      <c r="V44" s="99" t="s">
        <v>464</v>
      </c>
      <c r="W44" s="99"/>
      <c r="X44" s="99" t="s">
        <v>465</v>
      </c>
      <c r="Y44" s="99"/>
      <c r="Z44" s="99" t="s">
        <v>465</v>
      </c>
      <c r="AA44" s="99"/>
      <c r="AB44" s="99" t="s">
        <v>465</v>
      </c>
      <c r="AC44" s="99"/>
      <c r="AD44" s="99"/>
      <c r="AE44" s="99"/>
      <c r="AF44" s="99"/>
      <c r="AG44" s="99"/>
      <c r="AH44" s="99"/>
      <c r="AI44" s="99"/>
      <c r="AJ44" s="99" t="s">
        <v>466</v>
      </c>
      <c r="AK44" s="99"/>
      <c r="AL44" s="99" t="s">
        <v>466</v>
      </c>
      <c r="AM44" s="99"/>
      <c r="AN44" s="99" t="s">
        <v>466</v>
      </c>
      <c r="AO44" s="99"/>
      <c r="AP44" s="99" t="s">
        <v>25</v>
      </c>
      <c r="AQ44" s="99"/>
      <c r="AR44" s="99" t="s">
        <v>25</v>
      </c>
      <c r="AS44" s="99"/>
      <c r="AT44" s="99" t="s">
        <v>25</v>
      </c>
      <c r="AU44" s="99"/>
      <c r="AV44" s="99" t="s">
        <v>25</v>
      </c>
    </row>
    <row r="45" spans="2:48" ht="12.75">
      <c r="B45" s="9" t="s">
        <v>474</v>
      </c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 t="s">
        <v>64</v>
      </c>
      <c r="AE45" s="99"/>
      <c r="AF45" s="99" t="s">
        <v>64</v>
      </c>
      <c r="AG45" s="99"/>
      <c r="AH45" s="99" t="s">
        <v>64</v>
      </c>
      <c r="AI45" s="99"/>
      <c r="AJ45" s="99" t="s">
        <v>475</v>
      </c>
      <c r="AK45" s="99"/>
      <c r="AL45" s="99" t="s">
        <v>475</v>
      </c>
      <c r="AM45" s="99"/>
      <c r="AN45" s="99" t="s">
        <v>475</v>
      </c>
      <c r="AO45" s="99"/>
      <c r="AP45" s="99" t="s">
        <v>25</v>
      </c>
      <c r="AQ45" s="99"/>
      <c r="AR45" s="99" t="s">
        <v>25</v>
      </c>
      <c r="AS45" s="99"/>
      <c r="AT45" s="99" t="s">
        <v>25</v>
      </c>
      <c r="AU45" s="99"/>
      <c r="AV45" s="99" t="s">
        <v>25</v>
      </c>
    </row>
    <row r="46" spans="2:48" ht="12.75">
      <c r="B46" s="12" t="s">
        <v>48</v>
      </c>
      <c r="F46" s="92" t="s">
        <v>334</v>
      </c>
      <c r="H46" s="92" t="s">
        <v>334</v>
      </c>
      <c r="J46" s="92" t="s">
        <v>334</v>
      </c>
      <c r="L46" s="92" t="s">
        <v>335</v>
      </c>
      <c r="N46" s="92" t="s">
        <v>335</v>
      </c>
      <c r="P46" s="92" t="s">
        <v>335</v>
      </c>
      <c r="R46" s="92" t="s">
        <v>336</v>
      </c>
      <c r="T46" s="92" t="s">
        <v>336</v>
      </c>
      <c r="V46" s="92" t="s">
        <v>336</v>
      </c>
      <c r="X46" s="92" t="s">
        <v>337</v>
      </c>
      <c r="Z46" s="92" t="s">
        <v>337</v>
      </c>
      <c r="AB46" s="92" t="s">
        <v>337</v>
      </c>
      <c r="AJ46" s="99" t="s">
        <v>338</v>
      </c>
      <c r="AK46" s="99"/>
      <c r="AL46" s="99" t="s">
        <v>338</v>
      </c>
      <c r="AM46" s="99"/>
      <c r="AN46" s="99" t="s">
        <v>338</v>
      </c>
      <c r="AO46" s="99"/>
      <c r="AP46" s="99" t="s">
        <v>25</v>
      </c>
      <c r="AQ46" s="99"/>
      <c r="AR46" s="99" t="s">
        <v>25</v>
      </c>
      <c r="AS46" s="99"/>
      <c r="AT46" s="99" t="s">
        <v>25</v>
      </c>
      <c r="AU46" s="99"/>
      <c r="AV46" s="99" t="s">
        <v>25</v>
      </c>
    </row>
    <row r="47" spans="2:41" ht="12.75">
      <c r="B47" s="92" t="s">
        <v>91</v>
      </c>
      <c r="D47" s="92" t="s">
        <v>53</v>
      </c>
      <c r="F47" s="131">
        <v>2124</v>
      </c>
      <c r="G47" s="131"/>
      <c r="H47" s="131">
        <v>2397</v>
      </c>
      <c r="I47" s="131"/>
      <c r="J47" s="131">
        <v>2383</v>
      </c>
      <c r="K47" s="131"/>
      <c r="L47" s="131">
        <v>2446</v>
      </c>
      <c r="M47" s="131"/>
      <c r="N47" s="131">
        <v>2599</v>
      </c>
      <c r="O47" s="131"/>
      <c r="P47" s="131">
        <v>2667</v>
      </c>
      <c r="Q47" s="131"/>
      <c r="R47" s="131">
        <v>3405</v>
      </c>
      <c r="S47" s="131"/>
      <c r="T47" s="131">
        <v>3497</v>
      </c>
      <c r="U47" s="131"/>
      <c r="V47" s="131">
        <v>3577</v>
      </c>
      <c r="W47" s="131"/>
      <c r="X47" s="131">
        <v>4721</v>
      </c>
      <c r="Y47" s="131"/>
      <c r="Z47" s="131">
        <v>4474</v>
      </c>
      <c r="AA47" s="131"/>
      <c r="AB47" s="131">
        <v>4888</v>
      </c>
      <c r="AC47" s="131"/>
      <c r="AD47" s="131"/>
      <c r="AE47" s="131"/>
      <c r="AF47" s="131"/>
      <c r="AG47" s="131"/>
      <c r="AH47" s="131"/>
      <c r="AI47" s="131"/>
      <c r="AJ47" s="131">
        <v>5918</v>
      </c>
      <c r="AK47" s="131"/>
      <c r="AL47" s="131">
        <v>5881</v>
      </c>
      <c r="AM47" s="131"/>
      <c r="AN47" s="131">
        <v>5986</v>
      </c>
      <c r="AO47" s="93"/>
    </row>
    <row r="48" spans="2:41" ht="12.75">
      <c r="B48" s="92" t="s">
        <v>463</v>
      </c>
      <c r="D48" s="92" t="s">
        <v>339</v>
      </c>
      <c r="F48" s="131">
        <v>19679</v>
      </c>
      <c r="G48" s="131"/>
      <c r="H48" s="131">
        <v>19476</v>
      </c>
      <c r="I48" s="131"/>
      <c r="J48" s="131">
        <v>19509</v>
      </c>
      <c r="K48" s="131"/>
      <c r="L48" s="131">
        <v>3521</v>
      </c>
      <c r="M48" s="131"/>
      <c r="N48" s="131">
        <v>2808</v>
      </c>
      <c r="O48" s="131"/>
      <c r="P48" s="131">
        <v>2253</v>
      </c>
      <c r="Q48" s="131"/>
      <c r="R48" s="131">
        <v>7436</v>
      </c>
      <c r="S48" s="131"/>
      <c r="T48" s="131">
        <v>7346</v>
      </c>
      <c r="U48" s="131"/>
      <c r="V48" s="131">
        <v>7170</v>
      </c>
      <c r="W48" s="131"/>
      <c r="X48" s="131">
        <v>250</v>
      </c>
      <c r="Y48" s="131"/>
      <c r="Z48" s="131">
        <v>250</v>
      </c>
      <c r="AA48" s="131"/>
      <c r="AB48" s="131">
        <v>250</v>
      </c>
      <c r="AC48" s="131"/>
      <c r="AD48" s="131"/>
      <c r="AE48" s="131"/>
      <c r="AF48" s="131"/>
      <c r="AG48" s="131"/>
      <c r="AH48" s="131"/>
      <c r="AI48" s="131"/>
      <c r="AJ48" s="131">
        <v>6600</v>
      </c>
      <c r="AK48" s="131"/>
      <c r="AL48" s="131">
        <v>6600</v>
      </c>
      <c r="AM48" s="131"/>
      <c r="AN48" s="131">
        <v>6600</v>
      </c>
      <c r="AO48" s="93"/>
    </row>
    <row r="49" spans="2:41" ht="12.75">
      <c r="B49" s="92" t="s">
        <v>49</v>
      </c>
      <c r="D49" s="92" t="s">
        <v>340</v>
      </c>
      <c r="F49" s="93">
        <v>0.005</v>
      </c>
      <c r="G49" s="93"/>
      <c r="H49" s="93">
        <v>0.005</v>
      </c>
      <c r="I49" s="93"/>
      <c r="J49" s="93">
        <v>0.005</v>
      </c>
      <c r="K49" s="93"/>
      <c r="L49" s="93">
        <v>0.25</v>
      </c>
      <c r="M49" s="93"/>
      <c r="N49" s="93">
        <v>0.15</v>
      </c>
      <c r="O49" s="93"/>
      <c r="P49" s="93">
        <v>0.14</v>
      </c>
      <c r="Q49" s="93"/>
      <c r="R49" s="93">
        <v>2.74</v>
      </c>
      <c r="S49" s="93"/>
      <c r="T49" s="93">
        <v>2.58</v>
      </c>
      <c r="U49" s="93"/>
      <c r="V49" s="93">
        <v>2.92</v>
      </c>
      <c r="W49" s="93"/>
      <c r="X49" s="93">
        <v>96.3</v>
      </c>
      <c r="Y49" s="93"/>
      <c r="Z49" s="93">
        <v>95.4</v>
      </c>
      <c r="AA49" s="93"/>
      <c r="AB49" s="93">
        <v>95.6</v>
      </c>
      <c r="AC49" s="93"/>
      <c r="AD49" s="93"/>
      <c r="AE49" s="93"/>
      <c r="AF49" s="93"/>
      <c r="AG49" s="93"/>
      <c r="AH49" s="93"/>
      <c r="AI49" s="93"/>
      <c r="AJ49" s="93">
        <v>11.8</v>
      </c>
      <c r="AK49" s="93"/>
      <c r="AL49" s="93">
        <v>11.8</v>
      </c>
      <c r="AM49" s="93"/>
      <c r="AN49" s="93">
        <v>11.8</v>
      </c>
      <c r="AO49" s="93"/>
    </row>
    <row r="50" spans="2:41" ht="12.75">
      <c r="B50" s="92" t="s">
        <v>124</v>
      </c>
      <c r="D50" s="92" t="s">
        <v>340</v>
      </c>
      <c r="F50" s="93">
        <v>0.04</v>
      </c>
      <c r="G50" s="93"/>
      <c r="H50" s="93">
        <v>0.02</v>
      </c>
      <c r="I50" s="93"/>
      <c r="J50" s="93">
        <v>0.02</v>
      </c>
      <c r="K50" s="93"/>
      <c r="L50" s="93">
        <v>2.02</v>
      </c>
      <c r="M50" s="93"/>
      <c r="N50" s="93">
        <v>0.62</v>
      </c>
      <c r="O50" s="93"/>
      <c r="P50" s="93">
        <v>0.45</v>
      </c>
      <c r="Q50" s="93"/>
      <c r="R50" s="93">
        <v>0.19</v>
      </c>
      <c r="S50" s="93"/>
      <c r="T50" s="93">
        <v>8.34</v>
      </c>
      <c r="U50" s="93"/>
      <c r="V50" s="93">
        <v>0.19</v>
      </c>
      <c r="W50" s="93"/>
      <c r="X50" s="93">
        <v>0.01</v>
      </c>
      <c r="Y50" s="93"/>
      <c r="Z50" s="93">
        <v>0.02</v>
      </c>
      <c r="AA50" s="93"/>
      <c r="AB50" s="93">
        <v>0.01</v>
      </c>
      <c r="AC50" s="93"/>
      <c r="AD50" s="93"/>
      <c r="AE50" s="93"/>
      <c r="AF50" s="93"/>
      <c r="AG50" s="93"/>
      <c r="AH50" s="93"/>
      <c r="AI50" s="93"/>
      <c r="AJ50" s="93">
        <v>48.13</v>
      </c>
      <c r="AK50" s="93"/>
      <c r="AL50" s="93">
        <v>48.13</v>
      </c>
      <c r="AM50" s="93"/>
      <c r="AN50" s="93">
        <v>48.13</v>
      </c>
      <c r="AO50" s="93"/>
    </row>
    <row r="52" spans="2:40" ht="12.75">
      <c r="B52" s="92" t="s">
        <v>125</v>
      </c>
      <c r="D52" s="92" t="s">
        <v>17</v>
      </c>
      <c r="F52" s="131">
        <f>'emiss 2'!$G$90</f>
        <v>57343</v>
      </c>
      <c r="G52" s="131"/>
      <c r="H52" s="131">
        <f>'emiss 2'!$I$90</f>
        <v>58203</v>
      </c>
      <c r="I52" s="131"/>
      <c r="J52" s="131">
        <f>'emiss 2'!$K$90</f>
        <v>59373</v>
      </c>
      <c r="K52" s="131"/>
      <c r="L52" s="131">
        <f>'emiss 2'!$G$90</f>
        <v>57343</v>
      </c>
      <c r="M52" s="131"/>
      <c r="N52" s="131">
        <f>'emiss 2'!$I$90</f>
        <v>58203</v>
      </c>
      <c r="O52" s="131"/>
      <c r="P52" s="131">
        <f>'emiss 2'!$K$90</f>
        <v>59373</v>
      </c>
      <c r="Q52" s="131"/>
      <c r="R52" s="131">
        <f>'emiss 2'!$G$90</f>
        <v>57343</v>
      </c>
      <c r="S52" s="131"/>
      <c r="T52" s="131">
        <f>'emiss 2'!$I$90</f>
        <v>58203</v>
      </c>
      <c r="U52" s="131"/>
      <c r="V52" s="131">
        <f>'emiss 2'!$K$90</f>
        <v>59373</v>
      </c>
      <c r="W52" s="131"/>
      <c r="X52" s="131">
        <f>'emiss 2'!$G$90</f>
        <v>57343</v>
      </c>
      <c r="Y52" s="131"/>
      <c r="Z52" s="131">
        <f>'emiss 2'!$I$90</f>
        <v>58203</v>
      </c>
      <c r="AA52" s="131"/>
      <c r="AB52" s="131">
        <f>'emiss 2'!$K$90</f>
        <v>59373</v>
      </c>
      <c r="AC52" s="131"/>
      <c r="AD52" s="131"/>
      <c r="AE52" s="131"/>
      <c r="AF52" s="131"/>
      <c r="AG52" s="131"/>
      <c r="AH52" s="131"/>
      <c r="AI52" s="131"/>
      <c r="AJ52" s="131">
        <f>'emiss 2'!$G$90</f>
        <v>57343</v>
      </c>
      <c r="AK52" s="131"/>
      <c r="AL52" s="131">
        <f>'emiss 2'!$I$90</f>
        <v>58203</v>
      </c>
      <c r="AM52" s="131"/>
      <c r="AN52" s="131">
        <f>'emiss 2'!$K$90</f>
        <v>59373</v>
      </c>
    </row>
    <row r="53" spans="2:40" ht="12.75">
      <c r="B53" s="92" t="s">
        <v>126</v>
      </c>
      <c r="D53" s="92" t="s">
        <v>18</v>
      </c>
      <c r="F53" s="92">
        <f>'emiss 2'!$G$91</f>
        <v>14.07</v>
      </c>
      <c r="H53" s="92">
        <f>'emiss 2'!$I$91</f>
        <v>14.04</v>
      </c>
      <c r="J53" s="92">
        <f>'emiss 2'!$K$91</f>
        <v>14.3</v>
      </c>
      <c r="L53" s="92">
        <f>'emiss 2'!$G$91</f>
        <v>14.07</v>
      </c>
      <c r="N53" s="92">
        <f>'emiss 2'!$I$91</f>
        <v>14.04</v>
      </c>
      <c r="P53" s="92">
        <f>'emiss 2'!$K$91</f>
        <v>14.3</v>
      </c>
      <c r="R53" s="92">
        <f>'emiss 2'!$G$91</f>
        <v>14.07</v>
      </c>
      <c r="T53" s="92">
        <f>'emiss 2'!$I$91</f>
        <v>14.04</v>
      </c>
      <c r="V53" s="92">
        <f>'emiss 2'!$K$91</f>
        <v>14.3</v>
      </c>
      <c r="X53" s="92">
        <f>'emiss 2'!$G$91</f>
        <v>14.07</v>
      </c>
      <c r="Z53" s="92">
        <f>'emiss 2'!$I$91</f>
        <v>14.04</v>
      </c>
      <c r="AB53" s="92">
        <f>'emiss 2'!$K$91</f>
        <v>14.3</v>
      </c>
      <c r="AJ53" s="92">
        <f>'emiss 2'!$G$91</f>
        <v>14.07</v>
      </c>
      <c r="AL53" s="92">
        <f>'emiss 2'!$I$91</f>
        <v>14.04</v>
      </c>
      <c r="AN53" s="92">
        <f>'emiss 2'!$K$91</f>
        <v>14.3</v>
      </c>
    </row>
    <row r="55" ht="12.75">
      <c r="B55" s="109" t="s">
        <v>114</v>
      </c>
    </row>
    <row r="56" spans="2:51" ht="12.75">
      <c r="B56" s="92" t="s">
        <v>49</v>
      </c>
      <c r="D56" s="92" t="s">
        <v>63</v>
      </c>
      <c r="F56" s="94">
        <f>F49/100*F47*454/60/0.0283/F52*(21-7)/(21-F53)*1000</f>
        <v>1.0003617432203051</v>
      </c>
      <c r="G56" s="94"/>
      <c r="H56" s="94">
        <f>H49/100*H47*454/60/0.0283/H52*(21-7)/(21-H53)*1000</f>
        <v>1.1074640340580746</v>
      </c>
      <c r="I56" s="94"/>
      <c r="J56" s="94">
        <f>J49/100*J47*454/60/0.0283/J52*(21-7)/(21-J53)*1000</f>
        <v>1.1211828682483629</v>
      </c>
      <c r="K56" s="94"/>
      <c r="L56" s="94">
        <f>L49/100*L47*454/60/0.0283/L52*(21-7)/(21-L53)*1000</f>
        <v>57.60086685303358</v>
      </c>
      <c r="M56" s="94"/>
      <c r="N56" s="94">
        <f>N49/100*N47*454/60/0.0283/N52*(21-7)/(21-N53)*1000</f>
        <v>36.02376751585651</v>
      </c>
      <c r="O56" s="94"/>
      <c r="P56" s="94">
        <f>P49/100*P47*454/60/0.0283/P52*(21-7)/(21-P53)*1000</f>
        <v>35.13447413735407</v>
      </c>
      <c r="Q56" s="94"/>
      <c r="R56" s="131">
        <f>R49/100*R47*454/60/0.0283/R52*(21-7)/(21-R53)*1000</f>
        <v>878.8206172996687</v>
      </c>
      <c r="S56" s="131"/>
      <c r="T56" s="131">
        <f>T49/100*T47*454/60/0.0283/T52*(21-7)/(21-T53)*1000</f>
        <v>833.6944894385318</v>
      </c>
      <c r="U56" s="131"/>
      <c r="V56" s="131">
        <f>V49/100*V47*454/60/0.0283/V52*(21-7)/(21-V53)*1000</f>
        <v>982.8431111703928</v>
      </c>
      <c r="W56" s="131"/>
      <c r="X56" s="131">
        <f>X49/100*X47*454/60/0.0283/X52*(21-7)/(21-X53)*1000</f>
        <v>42824.55368665318</v>
      </c>
      <c r="Y56" s="131"/>
      <c r="Z56" s="131">
        <f>Z49/100*Z47*454/60/0.0283/Z52*(21-7)/(21-Z53)*1000</f>
        <v>39439.91289370494</v>
      </c>
      <c r="AA56" s="131"/>
      <c r="AB56" s="131">
        <f>AB49/100*AB47*454/60/0.0283/AB52*(21-7)/(21-AB53)*1000</f>
        <v>43971.52176381104</v>
      </c>
      <c r="AC56" s="131"/>
      <c r="AD56" s="131">
        <f>SUM(X56,R56,L56,F56)</f>
        <v>43761.9755325491</v>
      </c>
      <c r="AE56" s="131"/>
      <c r="AF56" s="131">
        <f>SUM(Z56,T56,N56,H56)</f>
        <v>40310.738614693386</v>
      </c>
      <c r="AG56" s="131"/>
      <c r="AH56" s="131">
        <f>SUM(AB56,V56,P56,J56)</f>
        <v>44990.620531987035</v>
      </c>
      <c r="AI56" s="131"/>
      <c r="AJ56" s="131">
        <f>AJ49/100*AJ47*454/60/0.0283/AJ52*(21-7)/(21-AJ53)*1000</f>
        <v>6577.934218197519</v>
      </c>
      <c r="AK56" s="131"/>
      <c r="AL56" s="131">
        <f>AL49/100*AL47*454/60/0.0283/AL52*(21-7)/(21-AL53)*1000</f>
        <v>6412.46162825927</v>
      </c>
      <c r="AM56" s="131"/>
      <c r="AN56" s="131">
        <f>AN49/100*AN47*454/60/0.0283/AN52*(21-7)/(21-AN53)*1000</f>
        <v>6646.624226785519</v>
      </c>
      <c r="AO56" s="131"/>
      <c r="AP56" s="131">
        <f>SUM(L56,F56,X56,R56,AJ56)</f>
        <v>50339.90975074662</v>
      </c>
      <c r="AQ56" s="131"/>
      <c r="AR56" s="131">
        <f>SUM(N56,H56,Z56,T56,AL56)</f>
        <v>46723.200242952655</v>
      </c>
      <c r="AS56" s="131"/>
      <c r="AT56" s="131">
        <f>SUM(P56,J56,AB56,V56,AN56)</f>
        <v>51637.244758772555</v>
      </c>
      <c r="AU56" s="131"/>
      <c r="AV56" s="131">
        <f>AVERAGE(AT56,AR56,AP56)</f>
        <v>49566.784917490615</v>
      </c>
      <c r="AW56" s="94"/>
      <c r="AX56" s="94"/>
      <c r="AY56" s="94"/>
    </row>
    <row r="57" spans="2:51" ht="12.75">
      <c r="B57" s="92" t="s">
        <v>124</v>
      </c>
      <c r="D57" s="92" t="s">
        <v>57</v>
      </c>
      <c r="F57" s="131">
        <f>F50/100*F47*454/60/0.0283/F$52*(21-7)/(21-F$53)*1000000</f>
        <v>8002.893945762441</v>
      </c>
      <c r="G57" s="131"/>
      <c r="H57" s="131">
        <f>H50/100*H47*454/60/0.0283/H$52*(21-7)/(21-H$53)*1000000</f>
        <v>4429.856136232298</v>
      </c>
      <c r="I57" s="131"/>
      <c r="J57" s="131">
        <f>J50/100*J47*454/60/0.0283/J$52*(21-7)/(21-J$53)*1000000</f>
        <v>4484.7314729934515</v>
      </c>
      <c r="K57" s="131"/>
      <c r="L57" s="131">
        <f>L50/100*L47*454/60/0.0283/L$52*(21-7)/(21-L$53)*1000000</f>
        <v>465415.00417251134</v>
      </c>
      <c r="M57" s="131"/>
      <c r="N57" s="131">
        <f>N50/100*N47*454/60/0.0283/N$52*(21-7)/(21-N$53)*1000000</f>
        <v>148898.23906554026</v>
      </c>
      <c r="O57" s="131"/>
      <c r="P57" s="131">
        <f>P50/100*P47*454/60/0.0283/P$52*(21-7)/(21-P$53)*1000000</f>
        <v>112932.23829863808</v>
      </c>
      <c r="Q57" s="131"/>
      <c r="R57" s="131">
        <f>R50/100*R47*454/60/0.0283/R$52*(21-7)/(21-R$53)*1000000</f>
        <v>60940.11579815219</v>
      </c>
      <c r="S57" s="131"/>
      <c r="T57" s="131">
        <f>T50/100*T47*454/60/0.0283/T$52*(21-7)/(21-T$53)*1000000</f>
        <v>2694965.907719905</v>
      </c>
      <c r="U57" s="131"/>
      <c r="V57" s="131">
        <f>V50/100*V47*454/60/0.0283/V$52*(21-7)/(21-V$53)*1000000</f>
        <v>63952.12024738857</v>
      </c>
      <c r="W57" s="131"/>
      <c r="X57" s="131">
        <f>X50/100*X47*454/60/0.0283/X$52*(21-7)/(21-X$53)*1000000</f>
        <v>4446.9941523004345</v>
      </c>
      <c r="Y57" s="131"/>
      <c r="Z57" s="131">
        <f>Z50/100*Z47*454/60/0.0283/Z$52*(21-7)/(21-Z$53)*1000000</f>
        <v>8268.325554235838</v>
      </c>
      <c r="AA57" s="131"/>
      <c r="AB57" s="131">
        <f>AB50/100*AB47*454/60/0.0283/AB$52*(21-7)/(21-AB$53)*1000000</f>
        <v>4599.5315652522</v>
      </c>
      <c r="AC57" s="131"/>
      <c r="AD57" s="131">
        <f>SUM(X57,R57,L57,F57)</f>
        <v>538805.0080687264</v>
      </c>
      <c r="AE57" s="131"/>
      <c r="AF57" s="131">
        <f>SUM(Z57,T57,N57,H57)</f>
        <v>2856562.3284759135</v>
      </c>
      <c r="AG57" s="131"/>
      <c r="AH57" s="131">
        <f>SUM(AB57,V57,P57,J57)</f>
        <v>185968.6215842723</v>
      </c>
      <c r="AI57" s="131"/>
      <c r="AJ57" s="131">
        <f>AJ50/100*AJ47*454/60/0.0283/AJ$52*(21-7)/(21-AJ$53)*1000000</f>
        <v>26830167.28151242</v>
      </c>
      <c r="AK57" s="131"/>
      <c r="AL57" s="131">
        <f>AL50/100*AL47*454/60/0.0283/AL$52*(21-7)/(21-AL$53)*1000000</f>
        <v>26155235.437976155</v>
      </c>
      <c r="AM57" s="131"/>
      <c r="AN57" s="131">
        <f>AN50/100*AN47*454/60/0.0283/AN$52*(21-7)/(21-AN$53)*1000000</f>
        <v>27110341.0199311</v>
      </c>
      <c r="AO57" s="131"/>
      <c r="AP57" s="131">
        <f>SUM(L57,F57,X57,R57,AJ57)</f>
        <v>27368972.289581146</v>
      </c>
      <c r="AQ57" s="131"/>
      <c r="AR57" s="131">
        <f>SUM(N57,H57,Z57,T57,AL57)</f>
        <v>29011797.76645207</v>
      </c>
      <c r="AS57" s="131"/>
      <c r="AT57" s="131">
        <f>SUM(P57,J57,AB57,V57,AN57)</f>
        <v>27296309.641515374</v>
      </c>
      <c r="AU57" s="131"/>
      <c r="AV57" s="131">
        <f>AVERAGE(AT57,AR57,AP57)</f>
        <v>27892359.899182867</v>
      </c>
      <c r="AW57" s="94"/>
      <c r="AX57" s="94"/>
      <c r="AY57" s="94"/>
    </row>
    <row r="59" spans="2:42" ht="12.75">
      <c r="B59" s="16" t="s">
        <v>306</v>
      </c>
      <c r="C59" s="16"/>
      <c r="F59" s="99" t="s">
        <v>316</v>
      </c>
      <c r="G59" s="99"/>
      <c r="H59" s="99" t="s">
        <v>317</v>
      </c>
      <c r="I59" s="99"/>
      <c r="J59" s="99" t="s">
        <v>318</v>
      </c>
      <c r="K59" s="99"/>
      <c r="L59" s="99" t="s">
        <v>316</v>
      </c>
      <c r="M59" s="99"/>
      <c r="N59" s="99" t="s">
        <v>317</v>
      </c>
      <c r="O59" s="99"/>
      <c r="P59" s="99" t="s">
        <v>318</v>
      </c>
      <c r="Q59" s="99"/>
      <c r="R59" s="99" t="s">
        <v>316</v>
      </c>
      <c r="S59" s="99"/>
      <c r="T59" s="99" t="s">
        <v>317</v>
      </c>
      <c r="U59" s="99"/>
      <c r="V59" s="99" t="s">
        <v>318</v>
      </c>
      <c r="W59" s="99"/>
      <c r="X59" s="99" t="s">
        <v>316</v>
      </c>
      <c r="Y59" s="99"/>
      <c r="Z59" s="99" t="s">
        <v>317</v>
      </c>
      <c r="AA59" s="99"/>
      <c r="AB59" s="99" t="s">
        <v>318</v>
      </c>
      <c r="AC59" s="99"/>
      <c r="AD59" s="99" t="s">
        <v>316</v>
      </c>
      <c r="AE59" s="99"/>
      <c r="AF59" s="99" t="s">
        <v>317</v>
      </c>
      <c r="AG59" s="99"/>
      <c r="AH59" s="99" t="s">
        <v>318</v>
      </c>
      <c r="AI59" s="99"/>
      <c r="AJ59" s="99" t="s">
        <v>316</v>
      </c>
      <c r="AK59" s="99"/>
      <c r="AL59" s="99" t="s">
        <v>317</v>
      </c>
      <c r="AM59" s="99"/>
      <c r="AN59" s="99" t="s">
        <v>318</v>
      </c>
      <c r="AO59" s="99"/>
      <c r="AP59" s="99" t="s">
        <v>47</v>
      </c>
    </row>
    <row r="60" spans="2:42" ht="12.75">
      <c r="B60" s="16"/>
      <c r="C60" s="16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</row>
    <row r="61" spans="2:48" ht="12.75">
      <c r="B61" s="9" t="s">
        <v>461</v>
      </c>
      <c r="F61" s="99" t="s">
        <v>467</v>
      </c>
      <c r="G61" s="99"/>
      <c r="H61" s="99" t="s">
        <v>467</v>
      </c>
      <c r="I61" s="99"/>
      <c r="J61" s="99" t="s">
        <v>467</v>
      </c>
      <c r="K61" s="99"/>
      <c r="L61" s="99" t="s">
        <v>468</v>
      </c>
      <c r="M61" s="99"/>
      <c r="N61" s="99" t="s">
        <v>468</v>
      </c>
      <c r="O61" s="99"/>
      <c r="P61" s="99" t="s">
        <v>468</v>
      </c>
      <c r="Q61" s="99"/>
      <c r="R61" s="99" t="s">
        <v>469</v>
      </c>
      <c r="S61" s="99"/>
      <c r="T61" s="99" t="s">
        <v>469</v>
      </c>
      <c r="U61" s="99"/>
      <c r="V61" s="99" t="s">
        <v>469</v>
      </c>
      <c r="W61" s="99"/>
      <c r="X61" s="99" t="s">
        <v>470</v>
      </c>
      <c r="Y61" s="99"/>
      <c r="Z61" s="99" t="s">
        <v>470</v>
      </c>
      <c r="AA61" s="99"/>
      <c r="AB61" s="99" t="s">
        <v>470</v>
      </c>
      <c r="AC61" s="99"/>
      <c r="AD61" s="99"/>
      <c r="AE61" s="99"/>
      <c r="AF61" s="99"/>
      <c r="AG61" s="99"/>
      <c r="AH61" s="99"/>
      <c r="AI61" s="99"/>
      <c r="AJ61" s="99" t="s">
        <v>471</v>
      </c>
      <c r="AK61" s="99"/>
      <c r="AL61" s="99" t="s">
        <v>471</v>
      </c>
      <c r="AM61" s="99"/>
      <c r="AN61" s="99" t="s">
        <v>471</v>
      </c>
      <c r="AO61" s="99"/>
      <c r="AP61" s="99" t="s">
        <v>472</v>
      </c>
      <c r="AQ61" s="99"/>
      <c r="AR61" s="99" t="s">
        <v>472</v>
      </c>
      <c r="AS61" s="99"/>
      <c r="AT61" s="99" t="s">
        <v>472</v>
      </c>
      <c r="AU61" s="99"/>
      <c r="AV61" s="99" t="s">
        <v>472</v>
      </c>
    </row>
    <row r="62" spans="2:48" ht="12.75">
      <c r="B62" s="9" t="s">
        <v>462</v>
      </c>
      <c r="F62" s="99" t="s">
        <v>464</v>
      </c>
      <c r="G62" s="99"/>
      <c r="H62" s="99" t="s">
        <v>464</v>
      </c>
      <c r="I62" s="99"/>
      <c r="J62" s="99" t="s">
        <v>464</v>
      </c>
      <c r="K62" s="99"/>
      <c r="L62" s="99" t="s">
        <v>464</v>
      </c>
      <c r="M62" s="99"/>
      <c r="N62" s="99" t="s">
        <v>464</v>
      </c>
      <c r="O62" s="99"/>
      <c r="P62" s="99" t="s">
        <v>464</v>
      </c>
      <c r="Q62" s="99"/>
      <c r="R62" s="99" t="s">
        <v>464</v>
      </c>
      <c r="S62" s="99"/>
      <c r="T62" s="99" t="s">
        <v>464</v>
      </c>
      <c r="U62" s="99"/>
      <c r="V62" s="99" t="s">
        <v>464</v>
      </c>
      <c r="W62" s="99"/>
      <c r="X62" s="99" t="s">
        <v>465</v>
      </c>
      <c r="Y62" s="99"/>
      <c r="Z62" s="99" t="s">
        <v>465</v>
      </c>
      <c r="AA62" s="99"/>
      <c r="AB62" s="99" t="s">
        <v>465</v>
      </c>
      <c r="AC62" s="99"/>
      <c r="AD62" s="99"/>
      <c r="AE62" s="99"/>
      <c r="AF62" s="99"/>
      <c r="AG62" s="99"/>
      <c r="AH62" s="99"/>
      <c r="AI62" s="99"/>
      <c r="AJ62" s="99" t="s">
        <v>466</v>
      </c>
      <c r="AK62" s="99"/>
      <c r="AL62" s="99" t="s">
        <v>466</v>
      </c>
      <c r="AM62" s="99"/>
      <c r="AN62" s="99" t="s">
        <v>466</v>
      </c>
      <c r="AO62" s="99"/>
      <c r="AP62" s="99" t="s">
        <v>25</v>
      </c>
      <c r="AQ62" s="99"/>
      <c r="AR62" s="99" t="s">
        <v>25</v>
      </c>
      <c r="AS62" s="99"/>
      <c r="AT62" s="99" t="s">
        <v>25</v>
      </c>
      <c r="AU62" s="99"/>
      <c r="AV62" s="99" t="s">
        <v>25</v>
      </c>
    </row>
    <row r="63" spans="2:48" ht="12.75">
      <c r="B63" s="9" t="s">
        <v>474</v>
      </c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 t="s">
        <v>64</v>
      </c>
      <c r="AE63" s="99"/>
      <c r="AF63" s="99" t="s">
        <v>64</v>
      </c>
      <c r="AG63" s="99"/>
      <c r="AH63" s="99" t="s">
        <v>64</v>
      </c>
      <c r="AI63" s="99"/>
      <c r="AJ63" s="99" t="s">
        <v>475</v>
      </c>
      <c r="AK63" s="99"/>
      <c r="AL63" s="99" t="s">
        <v>475</v>
      </c>
      <c r="AM63" s="99"/>
      <c r="AN63" s="99" t="s">
        <v>475</v>
      </c>
      <c r="AO63" s="99"/>
      <c r="AP63" s="99" t="s">
        <v>25</v>
      </c>
      <c r="AQ63" s="99"/>
      <c r="AR63" s="99" t="s">
        <v>25</v>
      </c>
      <c r="AS63" s="99"/>
      <c r="AT63" s="99" t="s">
        <v>25</v>
      </c>
      <c r="AU63" s="99"/>
      <c r="AV63" s="99" t="s">
        <v>25</v>
      </c>
    </row>
    <row r="64" spans="2:48" ht="12.75">
      <c r="B64" s="12" t="s">
        <v>48</v>
      </c>
      <c r="F64" s="99" t="s">
        <v>334</v>
      </c>
      <c r="G64" s="99"/>
      <c r="H64" s="99" t="s">
        <v>334</v>
      </c>
      <c r="I64" s="99"/>
      <c r="J64" s="99" t="s">
        <v>334</v>
      </c>
      <c r="K64" s="99"/>
      <c r="L64" s="99" t="s">
        <v>335</v>
      </c>
      <c r="M64" s="99"/>
      <c r="N64" s="99" t="s">
        <v>335</v>
      </c>
      <c r="O64" s="99"/>
      <c r="P64" s="99" t="s">
        <v>335</v>
      </c>
      <c r="Q64" s="99"/>
      <c r="R64" s="99" t="s">
        <v>336</v>
      </c>
      <c r="S64" s="99"/>
      <c r="T64" s="99" t="s">
        <v>336</v>
      </c>
      <c r="U64" s="99"/>
      <c r="V64" s="99" t="s">
        <v>336</v>
      </c>
      <c r="W64" s="99"/>
      <c r="X64" s="99" t="s">
        <v>337</v>
      </c>
      <c r="Y64" s="99"/>
      <c r="Z64" s="99" t="s">
        <v>337</v>
      </c>
      <c r="AA64" s="99"/>
      <c r="AB64" s="99" t="s">
        <v>337</v>
      </c>
      <c r="AC64" s="99"/>
      <c r="AD64" s="99"/>
      <c r="AE64" s="99"/>
      <c r="AF64" s="99"/>
      <c r="AG64" s="99"/>
      <c r="AH64" s="99"/>
      <c r="AI64" s="99"/>
      <c r="AJ64" s="99" t="s">
        <v>338</v>
      </c>
      <c r="AK64" s="99"/>
      <c r="AL64" s="99" t="s">
        <v>338</v>
      </c>
      <c r="AM64" s="99"/>
      <c r="AN64" s="99" t="s">
        <v>338</v>
      </c>
      <c r="AP64" s="99" t="s">
        <v>25</v>
      </c>
      <c r="AQ64" s="99"/>
      <c r="AR64" s="99" t="s">
        <v>25</v>
      </c>
      <c r="AS64" s="99"/>
      <c r="AT64" s="99" t="s">
        <v>25</v>
      </c>
      <c r="AU64" s="99"/>
      <c r="AV64" s="99" t="s">
        <v>25</v>
      </c>
    </row>
    <row r="65" spans="2:35" ht="12.75">
      <c r="B65" s="92" t="s">
        <v>91</v>
      </c>
      <c r="D65" s="92" t="s">
        <v>53</v>
      </c>
      <c r="F65" s="131">
        <v>3754</v>
      </c>
      <c r="G65" s="131"/>
      <c r="H65" s="131">
        <v>3851</v>
      </c>
      <c r="I65" s="131"/>
      <c r="J65" s="131">
        <v>4671</v>
      </c>
      <c r="K65" s="131"/>
      <c r="L65" s="131">
        <v>4861</v>
      </c>
      <c r="M65" s="131"/>
      <c r="N65" s="131">
        <v>4875</v>
      </c>
      <c r="O65" s="131"/>
      <c r="P65" s="131">
        <v>4876</v>
      </c>
      <c r="Q65" s="131"/>
      <c r="R65" s="131">
        <v>10052</v>
      </c>
      <c r="S65" s="131"/>
      <c r="T65" s="131">
        <v>9767</v>
      </c>
      <c r="U65" s="131"/>
      <c r="V65" s="131">
        <v>9192</v>
      </c>
      <c r="W65" s="131"/>
      <c r="X65" s="131">
        <v>10035</v>
      </c>
      <c r="Y65" s="131"/>
      <c r="Z65" s="131">
        <v>10036</v>
      </c>
      <c r="AA65" s="131"/>
      <c r="AB65" s="131">
        <v>9724</v>
      </c>
      <c r="AC65" s="93"/>
      <c r="AD65" s="93"/>
      <c r="AE65" s="93"/>
      <c r="AF65" s="93"/>
      <c r="AG65" s="93"/>
      <c r="AH65" s="93"/>
      <c r="AI65" s="93"/>
    </row>
    <row r="66" spans="2:35" ht="12.75">
      <c r="B66" s="92" t="s">
        <v>463</v>
      </c>
      <c r="D66" s="92" t="s">
        <v>339</v>
      </c>
      <c r="F66" s="131">
        <v>18938</v>
      </c>
      <c r="G66" s="131"/>
      <c r="H66" s="131">
        <v>19251</v>
      </c>
      <c r="I66" s="131"/>
      <c r="J66" s="131">
        <v>19244</v>
      </c>
      <c r="K66" s="131"/>
      <c r="L66" s="131">
        <v>6042</v>
      </c>
      <c r="M66" s="131"/>
      <c r="N66" s="131">
        <v>6042</v>
      </c>
      <c r="O66" s="131"/>
      <c r="P66" s="131">
        <v>6042</v>
      </c>
      <c r="Q66" s="131"/>
      <c r="R66" s="131">
        <v>281</v>
      </c>
      <c r="S66" s="131"/>
      <c r="T66" s="131">
        <v>250</v>
      </c>
      <c r="U66" s="131"/>
      <c r="V66" s="131">
        <v>250</v>
      </c>
      <c r="W66" s="131"/>
      <c r="X66" s="131">
        <v>920</v>
      </c>
      <c r="Y66" s="131"/>
      <c r="Z66" s="131">
        <v>678</v>
      </c>
      <c r="AA66" s="131"/>
      <c r="AB66" s="131">
        <v>250</v>
      </c>
      <c r="AC66" s="93"/>
      <c r="AD66" s="93"/>
      <c r="AE66" s="93"/>
      <c r="AF66" s="93"/>
      <c r="AG66" s="93"/>
      <c r="AH66" s="93"/>
      <c r="AI66" s="93"/>
    </row>
    <row r="67" spans="2:35" ht="12.75">
      <c r="B67" s="92" t="s">
        <v>49</v>
      </c>
      <c r="D67" s="92" t="s">
        <v>340</v>
      </c>
      <c r="F67" s="93">
        <v>0.07</v>
      </c>
      <c r="G67" s="93"/>
      <c r="H67" s="93">
        <v>0.06</v>
      </c>
      <c r="I67" s="93"/>
      <c r="J67" s="93">
        <v>0.07</v>
      </c>
      <c r="K67" s="93"/>
      <c r="L67" s="93"/>
      <c r="M67" s="93"/>
      <c r="N67" s="93"/>
      <c r="O67" s="93"/>
      <c r="P67" s="93"/>
      <c r="Q67" s="93"/>
      <c r="R67" s="93">
        <v>27.5</v>
      </c>
      <c r="S67" s="93"/>
      <c r="T67" s="93">
        <v>31</v>
      </c>
      <c r="U67" s="93"/>
      <c r="V67" s="93">
        <v>49.3</v>
      </c>
      <c r="W67" s="93"/>
      <c r="X67" s="93">
        <v>20.7</v>
      </c>
      <c r="Y67" s="93"/>
      <c r="Z67" s="93">
        <v>21.9</v>
      </c>
      <c r="AA67" s="93"/>
      <c r="AB67" s="93">
        <v>29</v>
      </c>
      <c r="AC67" s="93"/>
      <c r="AD67" s="93"/>
      <c r="AE67" s="93"/>
      <c r="AF67" s="93"/>
      <c r="AG67" s="93"/>
      <c r="AH67" s="93"/>
      <c r="AI67" s="93"/>
    </row>
    <row r="68" spans="2:35" ht="12.75">
      <c r="B68" s="92" t="s">
        <v>124</v>
      </c>
      <c r="D68" s="92" t="s">
        <v>340</v>
      </c>
      <c r="F68" s="93">
        <v>1.95</v>
      </c>
      <c r="G68" s="93"/>
      <c r="H68" s="93">
        <v>1.55</v>
      </c>
      <c r="I68" s="93"/>
      <c r="J68" s="93">
        <v>1.25</v>
      </c>
      <c r="K68" s="93"/>
      <c r="L68" s="93">
        <v>56.6</v>
      </c>
      <c r="M68" s="93"/>
      <c r="N68" s="93">
        <v>56.6</v>
      </c>
      <c r="O68" s="93"/>
      <c r="P68" s="93">
        <v>56.6</v>
      </c>
      <c r="Q68" s="93"/>
      <c r="R68" s="93">
        <v>0.49</v>
      </c>
      <c r="S68" s="93"/>
      <c r="T68" s="93">
        <v>0.2</v>
      </c>
      <c r="U68" s="93"/>
      <c r="V68" s="93">
        <v>0.18</v>
      </c>
      <c r="W68" s="93"/>
      <c r="X68" s="93">
        <v>1.85</v>
      </c>
      <c r="Y68" s="93"/>
      <c r="Z68" s="93">
        <v>1.48</v>
      </c>
      <c r="AA68" s="93"/>
      <c r="AB68" s="93">
        <v>0.31</v>
      </c>
      <c r="AC68" s="93"/>
      <c r="AD68" s="93"/>
      <c r="AE68" s="93"/>
      <c r="AF68" s="93"/>
      <c r="AG68" s="93"/>
      <c r="AH68" s="93"/>
      <c r="AI68" s="93"/>
    </row>
    <row r="69" spans="36:37" ht="12.75">
      <c r="AJ69" s="94"/>
      <c r="AK69" s="94"/>
    </row>
    <row r="70" spans="2:37" ht="12.75">
      <c r="B70" s="12" t="s">
        <v>125</v>
      </c>
      <c r="D70" s="92" t="s">
        <v>17</v>
      </c>
      <c r="F70" s="92">
        <f>'emiss 2'!$G$140</f>
        <v>56121</v>
      </c>
      <c r="H70" s="92">
        <f>'emiss 2'!$I$140</f>
        <v>57866</v>
      </c>
      <c r="J70" s="92">
        <f>'emiss 2'!$K$140</f>
        <v>56490</v>
      </c>
      <c r="L70" s="92">
        <f>'emiss 2'!$G$140</f>
        <v>56121</v>
      </c>
      <c r="N70" s="92">
        <f>'emiss 2'!$I$140</f>
        <v>57866</v>
      </c>
      <c r="P70" s="92">
        <f>'emiss 2'!$K$140</f>
        <v>56490</v>
      </c>
      <c r="R70" s="92">
        <f>'emiss 2'!$G$140</f>
        <v>56121</v>
      </c>
      <c r="T70" s="92">
        <f>'emiss 2'!$I$140</f>
        <v>57866</v>
      </c>
      <c r="V70" s="92">
        <f>'emiss 2'!$K$140</f>
        <v>56490</v>
      </c>
      <c r="X70" s="92">
        <f>'emiss 2'!$G$140</f>
        <v>56121</v>
      </c>
      <c r="Z70" s="92">
        <f>'emiss 2'!$I$140</f>
        <v>57866</v>
      </c>
      <c r="AB70" s="92">
        <f>'emiss 2'!$K$140</f>
        <v>56490</v>
      </c>
      <c r="AJ70" s="94"/>
      <c r="AK70" s="94"/>
    </row>
    <row r="71" spans="2:28" ht="12.75">
      <c r="B71" s="12" t="s">
        <v>66</v>
      </c>
      <c r="D71" s="92" t="s">
        <v>18</v>
      </c>
      <c r="F71" s="92">
        <f>'emiss 2'!$G$141</f>
        <v>13.69</v>
      </c>
      <c r="H71" s="92">
        <f>'emiss 2'!$I$141</f>
        <v>14</v>
      </c>
      <c r="J71" s="92">
        <f>'emiss 2'!$K$141</f>
        <v>13.68</v>
      </c>
      <c r="L71" s="92">
        <f>'emiss 2'!$G$141</f>
        <v>13.69</v>
      </c>
      <c r="N71" s="92">
        <f>'emiss 2'!$I$141</f>
        <v>14</v>
      </c>
      <c r="P71" s="92">
        <f>'emiss 2'!$K$141</f>
        <v>13.68</v>
      </c>
      <c r="R71" s="92">
        <f>'emiss 2'!$G$141</f>
        <v>13.69</v>
      </c>
      <c r="T71" s="92">
        <f>'emiss 2'!$I$141</f>
        <v>14</v>
      </c>
      <c r="V71" s="92">
        <f>'emiss 2'!$K$141</f>
        <v>13.68</v>
      </c>
      <c r="X71" s="92">
        <f>'emiss 2'!$G$141</f>
        <v>13.69</v>
      </c>
      <c r="Z71" s="92">
        <f>'emiss 2'!$I$141</f>
        <v>14</v>
      </c>
      <c r="AB71" s="92">
        <f>'emiss 2'!$K$141</f>
        <v>13.68</v>
      </c>
    </row>
    <row r="73" ht="12.75">
      <c r="B73" s="109" t="s">
        <v>114</v>
      </c>
    </row>
    <row r="74" spans="2:48" ht="12.75">
      <c r="B74" s="92" t="s">
        <v>49</v>
      </c>
      <c r="D74" s="92" t="s">
        <v>63</v>
      </c>
      <c r="F74" s="94">
        <f aca="true" t="shared" si="1" ref="F74:P74">F67/100*F65*454/60/0.0283/F70*(21-7)/(21-F71)*1000</f>
        <v>23.977049121174858</v>
      </c>
      <c r="G74" s="94"/>
      <c r="H74" s="94">
        <f t="shared" si="1"/>
        <v>21.35253630325894</v>
      </c>
      <c r="I74" s="94"/>
      <c r="J74" s="94">
        <f t="shared" si="1"/>
        <v>29.598619390763535</v>
      </c>
      <c r="K74" s="94"/>
      <c r="L74" s="94">
        <f t="shared" si="1"/>
        <v>0</v>
      </c>
      <c r="M74" s="94"/>
      <c r="N74" s="94">
        <f t="shared" si="1"/>
        <v>0</v>
      </c>
      <c r="O74" s="94"/>
      <c r="P74" s="94">
        <f t="shared" si="1"/>
        <v>0</v>
      </c>
      <c r="Q74" s="94"/>
      <c r="R74" s="131">
        <f aca="true" t="shared" si="2" ref="R74:AB74">R67/100*R65*454/60/0.0283/R70*(21-7)/(21-R71)*1000</f>
        <v>25222.52716556194</v>
      </c>
      <c r="S74" s="131"/>
      <c r="T74" s="131">
        <f t="shared" si="2"/>
        <v>27979.991709044538</v>
      </c>
      <c r="U74" s="131"/>
      <c r="V74" s="131">
        <f t="shared" si="2"/>
        <v>41022.344910502485</v>
      </c>
      <c r="W74" s="131"/>
      <c r="X74" s="131">
        <f t="shared" si="2"/>
        <v>18953.575386907247</v>
      </c>
      <c r="Y74" s="131"/>
      <c r="Z74" s="131">
        <f t="shared" si="2"/>
        <v>20310.914005172664</v>
      </c>
      <c r="AA74" s="131"/>
      <c r="AB74" s="131">
        <f t="shared" si="2"/>
        <v>25527.39478764949</v>
      </c>
      <c r="AC74" s="131"/>
      <c r="AD74" s="131">
        <f>SUM(X74,R74,L74,F74)</f>
        <v>44200.07960159036</v>
      </c>
      <c r="AE74" s="131"/>
      <c r="AF74" s="131">
        <f>SUM(Z74,T74,N74,H74)</f>
        <v>48312.25825052046</v>
      </c>
      <c r="AG74" s="131"/>
      <c r="AH74" s="131">
        <f>SUM(AB74,V74,P74,J74)</f>
        <v>66579.33831754273</v>
      </c>
      <c r="AI74" s="131"/>
      <c r="AJ74" s="131">
        <f>SUM(L74,F74,X74,R74)</f>
        <v>44200.07960159036</v>
      </c>
      <c r="AK74" s="131"/>
      <c r="AL74" s="131">
        <f>SUM(N74,H74,Z74,T74)</f>
        <v>48312.25825052046</v>
      </c>
      <c r="AM74" s="131"/>
      <c r="AN74" s="131">
        <f>SUM(P74,J74,AB74,V74)</f>
        <v>66579.33831754274</v>
      </c>
      <c r="AO74" s="131"/>
      <c r="AP74" s="131">
        <f>AVERAGE(AN74,AL74,AJ74)</f>
        <v>53030.55872321786</v>
      </c>
      <c r="AQ74" s="94"/>
      <c r="AR74" s="94"/>
      <c r="AS74" s="94"/>
      <c r="AT74" s="94"/>
      <c r="AU74" s="94"/>
      <c r="AV74" s="94"/>
    </row>
    <row r="75" spans="2:48" ht="12.75">
      <c r="B75" s="92" t="s">
        <v>124</v>
      </c>
      <c r="D75" s="92" t="s">
        <v>57</v>
      </c>
      <c r="F75" s="131">
        <f aca="true" t="shared" si="3" ref="F75:AB75">F68/100*F65*454/60/0.0283/F$70*(21-7)/(21-F$71)*1000000</f>
        <v>667932.0826612995</v>
      </c>
      <c r="G75" s="131"/>
      <c r="H75" s="131">
        <f t="shared" si="3"/>
        <v>551607.1878341893</v>
      </c>
      <c r="I75" s="131"/>
      <c r="J75" s="131">
        <f t="shared" si="3"/>
        <v>528546.7748350631</v>
      </c>
      <c r="K75" s="131"/>
      <c r="L75" s="131">
        <f t="shared" si="3"/>
        <v>25104147.44286686</v>
      </c>
      <c r="M75" s="131"/>
      <c r="N75" s="131">
        <f t="shared" si="3"/>
        <v>25498565.651678026</v>
      </c>
      <c r="O75" s="131"/>
      <c r="P75" s="131">
        <f t="shared" si="3"/>
        <v>24982947.47913859</v>
      </c>
      <c r="Q75" s="131"/>
      <c r="R75" s="131">
        <f t="shared" si="3"/>
        <v>449419.57495001255</v>
      </c>
      <c r="S75" s="131"/>
      <c r="T75" s="131">
        <f t="shared" si="3"/>
        <v>180516.07554222282</v>
      </c>
      <c r="U75" s="131"/>
      <c r="V75" s="131">
        <f t="shared" si="3"/>
        <v>149777.3242168447</v>
      </c>
      <c r="W75" s="131"/>
      <c r="X75" s="131">
        <f t="shared" si="3"/>
        <v>1693918.57322601</v>
      </c>
      <c r="Y75" s="131"/>
      <c r="Z75" s="131">
        <f t="shared" si="3"/>
        <v>1372609.7135915773</v>
      </c>
      <c r="AA75" s="131"/>
      <c r="AB75" s="131">
        <f t="shared" si="3"/>
        <v>272879.04773004627</v>
      </c>
      <c r="AC75" s="131"/>
      <c r="AD75" s="131">
        <f>SUM(X75,R75,L75,F75)</f>
        <v>27915417.673704185</v>
      </c>
      <c r="AE75" s="131"/>
      <c r="AF75" s="131">
        <f>SUM(Z75,T75,N75,H75)</f>
        <v>27603298.628646016</v>
      </c>
      <c r="AG75" s="131"/>
      <c r="AH75" s="131">
        <f>SUM(AB75,V75,P75,J75)</f>
        <v>25934150.62592054</v>
      </c>
      <c r="AI75" s="131"/>
      <c r="AJ75" s="131">
        <f>SUM(L75,F75,X75,R75)</f>
        <v>27915417.673704185</v>
      </c>
      <c r="AK75" s="131"/>
      <c r="AL75" s="131">
        <f>SUM(N75,H75,Z75,T75)</f>
        <v>27603298.628646012</v>
      </c>
      <c r="AM75" s="131"/>
      <c r="AN75" s="131">
        <f>SUM(P75,J75,AB75,V75)</f>
        <v>25934150.62592055</v>
      </c>
      <c r="AO75" s="131"/>
      <c r="AP75" s="131">
        <f>AVERAGE(AN75,AL75,AJ75)</f>
        <v>27150955.64275692</v>
      </c>
      <c r="AQ75" s="94"/>
      <c r="AR75" s="94"/>
      <c r="AS75" s="94"/>
      <c r="AT75" s="94"/>
      <c r="AU75" s="94"/>
      <c r="AV75" s="94"/>
    </row>
    <row r="77" spans="2:54" ht="12.75">
      <c r="B77" s="16" t="s">
        <v>284</v>
      </c>
      <c r="F77" s="99" t="s">
        <v>316</v>
      </c>
      <c r="G77" s="99"/>
      <c r="H77" s="99" t="s">
        <v>317</v>
      </c>
      <c r="I77" s="99"/>
      <c r="J77" s="99" t="s">
        <v>318</v>
      </c>
      <c r="K77" s="99"/>
      <c r="L77" s="99" t="s">
        <v>316</v>
      </c>
      <c r="M77" s="99"/>
      <c r="N77" s="99" t="s">
        <v>317</v>
      </c>
      <c r="O77" s="99"/>
      <c r="P77" s="99" t="s">
        <v>318</v>
      </c>
      <c r="Q77" s="99"/>
      <c r="R77" s="99" t="s">
        <v>316</v>
      </c>
      <c r="S77" s="99"/>
      <c r="T77" s="99" t="s">
        <v>317</v>
      </c>
      <c r="U77" s="99"/>
      <c r="V77" s="99" t="s">
        <v>318</v>
      </c>
      <c r="W77" s="99"/>
      <c r="X77" s="99" t="s">
        <v>316</v>
      </c>
      <c r="Y77" s="99"/>
      <c r="Z77" s="99" t="s">
        <v>317</v>
      </c>
      <c r="AA77" s="99"/>
      <c r="AB77" s="99" t="s">
        <v>318</v>
      </c>
      <c r="AC77" s="99"/>
      <c r="AD77" s="99" t="s">
        <v>316</v>
      </c>
      <c r="AE77" s="99"/>
      <c r="AF77" s="99" t="s">
        <v>317</v>
      </c>
      <c r="AG77" s="99"/>
      <c r="AH77" s="99" t="s">
        <v>318</v>
      </c>
      <c r="AI77" s="99"/>
      <c r="AJ77" s="99" t="s">
        <v>316</v>
      </c>
      <c r="AK77" s="99"/>
      <c r="AL77" s="99" t="s">
        <v>317</v>
      </c>
      <c r="AM77" s="99"/>
      <c r="AN77" s="99" t="s">
        <v>318</v>
      </c>
      <c r="AO77" s="99"/>
      <c r="AP77" s="99" t="s">
        <v>316</v>
      </c>
      <c r="AQ77" s="99"/>
      <c r="AR77" s="99" t="s">
        <v>317</v>
      </c>
      <c r="AS77" s="99"/>
      <c r="AT77" s="99" t="s">
        <v>318</v>
      </c>
      <c r="AU77" s="99"/>
      <c r="AV77" s="92" t="s">
        <v>319</v>
      </c>
      <c r="AX77" s="92" t="s">
        <v>320</v>
      </c>
      <c r="AZ77" s="92" t="s">
        <v>321</v>
      </c>
      <c r="BB77" s="99" t="s">
        <v>47</v>
      </c>
    </row>
    <row r="78" spans="2:54" ht="12.75">
      <c r="B78" s="16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BB78" s="99"/>
    </row>
    <row r="79" spans="2:54" ht="12.75">
      <c r="B79" s="9" t="s">
        <v>461</v>
      </c>
      <c r="F79" s="99" t="s">
        <v>467</v>
      </c>
      <c r="G79" s="99"/>
      <c r="H79" s="99" t="s">
        <v>467</v>
      </c>
      <c r="I79" s="99"/>
      <c r="J79" s="99" t="s">
        <v>467</v>
      </c>
      <c r="K79" s="99"/>
      <c r="L79" s="99" t="s">
        <v>468</v>
      </c>
      <c r="M79" s="99"/>
      <c r="N79" s="99" t="s">
        <v>468</v>
      </c>
      <c r="O79" s="99"/>
      <c r="P79" s="99" t="s">
        <v>468</v>
      </c>
      <c r="Q79" s="99"/>
      <c r="R79" s="99" t="s">
        <v>469</v>
      </c>
      <c r="S79" s="99"/>
      <c r="T79" s="99" t="s">
        <v>469</v>
      </c>
      <c r="U79" s="99"/>
      <c r="V79" s="99" t="s">
        <v>469</v>
      </c>
      <c r="W79" s="99"/>
      <c r="X79" s="99" t="s">
        <v>470</v>
      </c>
      <c r="Y79" s="99"/>
      <c r="Z79" s="99" t="s">
        <v>470</v>
      </c>
      <c r="AA79" s="99"/>
      <c r="AB79" s="99" t="s">
        <v>470</v>
      </c>
      <c r="AC79" s="99"/>
      <c r="AD79" s="99"/>
      <c r="AE79" s="99"/>
      <c r="AF79" s="99"/>
      <c r="AG79" s="99"/>
      <c r="AH79" s="99"/>
      <c r="AI79" s="99"/>
      <c r="AJ79" s="99" t="s">
        <v>471</v>
      </c>
      <c r="AK79" s="99"/>
      <c r="AL79" s="99" t="s">
        <v>471</v>
      </c>
      <c r="AM79" s="99"/>
      <c r="AN79" s="99" t="s">
        <v>471</v>
      </c>
      <c r="AO79" s="99"/>
      <c r="AP79" s="99" t="s">
        <v>472</v>
      </c>
      <c r="AQ79" s="99"/>
      <c r="AR79" s="99" t="s">
        <v>472</v>
      </c>
      <c r="AS79" s="99"/>
      <c r="AT79" s="99" t="s">
        <v>472</v>
      </c>
      <c r="AU79" s="99"/>
      <c r="AV79" s="99" t="s">
        <v>472</v>
      </c>
      <c r="AX79" s="99" t="s">
        <v>472</v>
      </c>
      <c r="AZ79" s="99" t="s">
        <v>472</v>
      </c>
      <c r="BB79" s="99" t="s">
        <v>472</v>
      </c>
    </row>
    <row r="80" spans="2:54" ht="12.75">
      <c r="B80" s="9" t="s">
        <v>462</v>
      </c>
      <c r="F80" s="99" t="s">
        <v>464</v>
      </c>
      <c r="G80" s="99"/>
      <c r="H80" s="99" t="s">
        <v>464</v>
      </c>
      <c r="I80" s="99"/>
      <c r="J80" s="99" t="s">
        <v>464</v>
      </c>
      <c r="K80" s="99"/>
      <c r="L80" s="99" t="s">
        <v>464</v>
      </c>
      <c r="M80" s="99"/>
      <c r="N80" s="99" t="s">
        <v>464</v>
      </c>
      <c r="O80" s="99"/>
      <c r="P80" s="99" t="s">
        <v>464</v>
      </c>
      <c r="Q80" s="99"/>
      <c r="R80" s="99" t="s">
        <v>464</v>
      </c>
      <c r="S80" s="99"/>
      <c r="T80" s="99" t="s">
        <v>464</v>
      </c>
      <c r="U80" s="99"/>
      <c r="V80" s="99" t="s">
        <v>464</v>
      </c>
      <c r="W80" s="99"/>
      <c r="X80" s="99" t="s">
        <v>465</v>
      </c>
      <c r="Y80" s="99"/>
      <c r="Z80" s="99" t="s">
        <v>465</v>
      </c>
      <c r="AA80" s="99"/>
      <c r="AB80" s="99" t="s">
        <v>465</v>
      </c>
      <c r="AC80" s="99"/>
      <c r="AD80" s="99"/>
      <c r="AE80" s="99"/>
      <c r="AF80" s="99"/>
      <c r="AG80" s="99"/>
      <c r="AH80" s="99"/>
      <c r="AI80" s="99"/>
      <c r="AJ80" s="99" t="s">
        <v>466</v>
      </c>
      <c r="AK80" s="99"/>
      <c r="AL80" s="99" t="s">
        <v>466</v>
      </c>
      <c r="AM80" s="99"/>
      <c r="AN80" s="99" t="s">
        <v>466</v>
      </c>
      <c r="AO80" s="99"/>
      <c r="AP80" s="99" t="s">
        <v>25</v>
      </c>
      <c r="AQ80" s="99"/>
      <c r="AR80" s="99" t="s">
        <v>25</v>
      </c>
      <c r="AS80" s="99"/>
      <c r="AT80" s="99" t="s">
        <v>25</v>
      </c>
      <c r="AU80" s="99"/>
      <c r="AV80" s="19" t="s">
        <v>25</v>
      </c>
      <c r="AW80" s="99"/>
      <c r="AX80" s="99" t="s">
        <v>25</v>
      </c>
      <c r="AY80" s="99"/>
      <c r="AZ80" s="99" t="s">
        <v>25</v>
      </c>
      <c r="BA80" s="99"/>
      <c r="BB80" s="99" t="s">
        <v>25</v>
      </c>
    </row>
    <row r="81" spans="2:54" ht="12.75">
      <c r="B81" s="9" t="s">
        <v>474</v>
      </c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 t="s">
        <v>25</v>
      </c>
      <c r="AQ81" s="99"/>
      <c r="AR81" s="99" t="s">
        <v>25</v>
      </c>
      <c r="AS81" s="99"/>
      <c r="AT81" s="99" t="s">
        <v>25</v>
      </c>
      <c r="AU81" s="99"/>
      <c r="AV81" s="19" t="s">
        <v>25</v>
      </c>
      <c r="AW81" s="99"/>
      <c r="AX81" s="99" t="s">
        <v>25</v>
      </c>
      <c r="AY81" s="99"/>
      <c r="AZ81" s="99" t="s">
        <v>25</v>
      </c>
      <c r="BA81" s="99"/>
      <c r="BB81" s="99" t="s">
        <v>25</v>
      </c>
    </row>
    <row r="82" spans="2:54" ht="12.75">
      <c r="B82" s="12" t="s">
        <v>48</v>
      </c>
      <c r="F82" s="92" t="s">
        <v>334</v>
      </c>
      <c r="H82" s="92" t="s">
        <v>334</v>
      </c>
      <c r="J82" s="92" t="s">
        <v>334</v>
      </c>
      <c r="L82" s="92" t="s">
        <v>335</v>
      </c>
      <c r="N82" s="92" t="s">
        <v>335</v>
      </c>
      <c r="P82" s="92" t="s">
        <v>335</v>
      </c>
      <c r="R82" s="92" t="s">
        <v>336</v>
      </c>
      <c r="T82" s="92" t="s">
        <v>336</v>
      </c>
      <c r="V82" s="92" t="s">
        <v>336</v>
      </c>
      <c r="X82" s="92" t="s">
        <v>337</v>
      </c>
      <c r="Z82" s="92" t="s">
        <v>337</v>
      </c>
      <c r="AB82" s="92" t="s">
        <v>337</v>
      </c>
      <c r="AJ82" s="99" t="s">
        <v>338</v>
      </c>
      <c r="AK82" s="99"/>
      <c r="AL82" s="99" t="s">
        <v>338</v>
      </c>
      <c r="AM82" s="99"/>
      <c r="AN82" s="99" t="s">
        <v>338</v>
      </c>
      <c r="AO82" s="99"/>
      <c r="AP82" s="99" t="s">
        <v>25</v>
      </c>
      <c r="AQ82" s="99"/>
      <c r="AR82" s="99" t="s">
        <v>25</v>
      </c>
      <c r="AS82" s="99"/>
      <c r="AT82" s="99" t="s">
        <v>25</v>
      </c>
      <c r="AU82" s="99"/>
      <c r="AV82" s="19" t="s">
        <v>25</v>
      </c>
      <c r="AW82" s="99"/>
      <c r="AX82" s="99" t="s">
        <v>25</v>
      </c>
      <c r="AY82" s="99"/>
      <c r="AZ82" s="99" t="s">
        <v>25</v>
      </c>
      <c r="BA82" s="99"/>
      <c r="BB82" s="99" t="s">
        <v>25</v>
      </c>
    </row>
    <row r="83" spans="2:46" ht="12.75">
      <c r="B83" s="92" t="s">
        <v>124</v>
      </c>
      <c r="D83" s="92" t="s">
        <v>53</v>
      </c>
      <c r="AP83" s="92">
        <v>600</v>
      </c>
      <c r="AR83" s="92">
        <v>600</v>
      </c>
      <c r="AT83" s="92">
        <v>600</v>
      </c>
    </row>
    <row r="84" spans="2:52" ht="12.75">
      <c r="B84" s="92" t="s">
        <v>105</v>
      </c>
      <c r="D84" s="92" t="s">
        <v>341</v>
      </c>
      <c r="AV84" s="92">
        <v>1059</v>
      </c>
      <c r="AX84" s="92">
        <v>83.9</v>
      </c>
      <c r="AZ84" s="92">
        <v>1020</v>
      </c>
    </row>
    <row r="85" spans="2:52" ht="12.75">
      <c r="B85" s="92" t="s">
        <v>84</v>
      </c>
      <c r="D85" s="92" t="s">
        <v>341</v>
      </c>
      <c r="AV85" s="92">
        <v>0.0196</v>
      </c>
      <c r="AX85" s="92">
        <v>0.0175</v>
      </c>
      <c r="AZ85" s="92">
        <v>0.0198</v>
      </c>
    </row>
    <row r="86" spans="2:52" ht="12.75">
      <c r="B86" s="92" t="s">
        <v>106</v>
      </c>
      <c r="D86" s="92" t="s">
        <v>341</v>
      </c>
      <c r="AV86" s="92">
        <v>76.3</v>
      </c>
      <c r="AX86" s="92">
        <v>74.4</v>
      </c>
      <c r="AZ86" s="92">
        <v>97.5</v>
      </c>
    </row>
    <row r="87" spans="2:52" ht="12.75">
      <c r="B87" s="92" t="s">
        <v>145</v>
      </c>
      <c r="D87" s="92" t="s">
        <v>341</v>
      </c>
      <c r="AV87" s="92">
        <v>675</v>
      </c>
      <c r="AX87" s="92">
        <v>857</v>
      </c>
      <c r="AZ87" s="92">
        <v>1061</v>
      </c>
    </row>
    <row r="88" spans="2:52" ht="12.75">
      <c r="B88" s="92" t="s">
        <v>83</v>
      </c>
      <c r="D88" s="92" t="s">
        <v>341</v>
      </c>
      <c r="AV88" s="92">
        <v>7131</v>
      </c>
      <c r="AX88" s="92">
        <v>7489</v>
      </c>
      <c r="AZ88" s="92">
        <v>8373</v>
      </c>
    </row>
    <row r="89" spans="2:52" ht="12.75">
      <c r="B89" s="92" t="s">
        <v>85</v>
      </c>
      <c r="D89" s="92" t="s">
        <v>341</v>
      </c>
      <c r="AV89" s="92">
        <v>15.1</v>
      </c>
      <c r="AX89" s="92">
        <v>16.7</v>
      </c>
      <c r="AZ89" s="92">
        <v>7</v>
      </c>
    </row>
    <row r="90" spans="2:52" ht="12.75">
      <c r="B90" s="92" t="s">
        <v>107</v>
      </c>
      <c r="D90" s="92" t="s">
        <v>341</v>
      </c>
      <c r="AV90" s="92">
        <v>17.1</v>
      </c>
      <c r="AX90" s="92">
        <v>17.1</v>
      </c>
      <c r="AZ90" s="92">
        <v>17.9</v>
      </c>
    </row>
    <row r="92" spans="2:52" ht="12.75">
      <c r="B92" s="12" t="s">
        <v>125</v>
      </c>
      <c r="C92" s="12"/>
      <c r="D92" s="12" t="s">
        <v>17</v>
      </c>
      <c r="AV92" s="92">
        <f>'emiss 2'!M243</f>
        <v>55864</v>
      </c>
      <c r="AX92" s="92">
        <f>'emiss 2'!O243</f>
        <v>55451</v>
      </c>
      <c r="AZ92" s="92">
        <f>'emiss 2'!Q243</f>
        <v>55431</v>
      </c>
    </row>
    <row r="93" spans="2:52" ht="12.75">
      <c r="B93" s="12" t="s">
        <v>66</v>
      </c>
      <c r="C93" s="12"/>
      <c r="D93" s="12" t="s">
        <v>18</v>
      </c>
      <c r="AV93" s="92">
        <f>'emiss 2'!M244</f>
        <v>12.92</v>
      </c>
      <c r="AX93" s="92">
        <f>'emiss 2'!O244</f>
        <v>13.42</v>
      </c>
      <c r="AZ93" s="92">
        <f>'emiss 2'!Q244</f>
        <v>13.23</v>
      </c>
    </row>
    <row r="95" ht="12.75">
      <c r="B95" s="109" t="s">
        <v>114</v>
      </c>
    </row>
    <row r="96" spans="2:54" ht="12.75">
      <c r="B96" s="92" t="s">
        <v>124</v>
      </c>
      <c r="D96" s="92" t="s">
        <v>57</v>
      </c>
      <c r="AP96" s="131">
        <f>AP83*454/AV92/60*1000000*14/(21-AV93)/0.0283</f>
        <v>4975698.575429378</v>
      </c>
      <c r="AQ96" s="131"/>
      <c r="AR96" s="131">
        <f>AR83*454/AX92/60*1000000*14/(21-AX93)/0.0283</f>
        <v>5343414.501827917</v>
      </c>
      <c r="AS96" s="131"/>
      <c r="AT96" s="131">
        <f>AT83*454/AZ92/60*1000000*14/(21-AZ93)/0.0283</f>
        <v>5214632.663790638</v>
      </c>
      <c r="AU96" s="131"/>
      <c r="AV96" s="131"/>
      <c r="AW96" s="131"/>
      <c r="AX96" s="131"/>
      <c r="AY96" s="131"/>
      <c r="AZ96" s="131"/>
      <c r="BA96" s="131"/>
      <c r="BB96" s="131">
        <f>AVERAGE(AP96,AR96,AT96)</f>
        <v>5177915.247015977</v>
      </c>
    </row>
    <row r="97" spans="2:54" ht="12.75">
      <c r="B97" s="92" t="s">
        <v>105</v>
      </c>
      <c r="D97" s="92" t="s">
        <v>57</v>
      </c>
      <c r="AP97" s="131"/>
      <c r="AQ97" s="131"/>
      <c r="AR97" s="131"/>
      <c r="AS97" s="131"/>
      <c r="AT97" s="131"/>
      <c r="AU97" s="131"/>
      <c r="AV97" s="131">
        <f aca="true" t="shared" si="4" ref="AV97:AV103">AV84/AV$92/0.0283/60*14/(21-AV$93)*1000000</f>
        <v>19343.85018861862</v>
      </c>
      <c r="AW97" s="131"/>
      <c r="AX97" s="131">
        <f aca="true" t="shared" si="5" ref="AX97:AX103">AX84/AX$92/0.0283/60*14/(21-AX$93)*1000000</f>
        <v>1645.7873594102873</v>
      </c>
      <c r="AY97" s="131"/>
      <c r="AZ97" s="131">
        <f aca="true" t="shared" si="6" ref="AZ97:AZ103">AZ84/AZ$92/0.0283/60*14/(21-AZ$93)*1000000</f>
        <v>19526.157551638953</v>
      </c>
      <c r="BA97" s="131"/>
      <c r="BB97" s="131">
        <f aca="true" t="shared" si="7" ref="BB97:BB105">AVERAGE(AV97,AX97,AZ97)</f>
        <v>13505.265033222619</v>
      </c>
    </row>
    <row r="98" spans="2:54" ht="12.75">
      <c r="B98" s="92" t="s">
        <v>84</v>
      </c>
      <c r="D98" s="92" t="s">
        <v>57</v>
      </c>
      <c r="AP98" s="131"/>
      <c r="AQ98" s="131"/>
      <c r="AR98" s="131"/>
      <c r="AS98" s="131"/>
      <c r="AT98" s="131"/>
      <c r="AU98" s="131"/>
      <c r="AV98" s="131">
        <f t="shared" si="4"/>
        <v>0.358016490743083</v>
      </c>
      <c r="AW98" s="131"/>
      <c r="AX98" s="131">
        <f t="shared" si="5"/>
        <v>0.343281034441955</v>
      </c>
      <c r="AY98" s="131"/>
      <c r="AZ98" s="131">
        <f t="shared" si="6"/>
        <v>0.3790371760024032</v>
      </c>
      <c r="BA98" s="131"/>
      <c r="BB98" s="131">
        <f t="shared" si="7"/>
        <v>0.3601115670624804</v>
      </c>
    </row>
    <row r="99" spans="2:54" ht="12.75">
      <c r="B99" s="92" t="s">
        <v>106</v>
      </c>
      <c r="D99" s="92" t="s">
        <v>57</v>
      </c>
      <c r="AP99" s="131"/>
      <c r="AQ99" s="131"/>
      <c r="AR99" s="131"/>
      <c r="AS99" s="131"/>
      <c r="AT99" s="131"/>
      <c r="AU99" s="131"/>
      <c r="AV99" s="131">
        <f t="shared" si="4"/>
        <v>1393.707053249859</v>
      </c>
      <c r="AW99" s="131"/>
      <c r="AX99" s="131">
        <f t="shared" si="5"/>
        <v>1459.434797856083</v>
      </c>
      <c r="AY99" s="131"/>
      <c r="AZ99" s="131">
        <f t="shared" si="6"/>
        <v>1866.4709424360765</v>
      </c>
      <c r="BA99" s="131"/>
      <c r="BB99" s="131">
        <f t="shared" si="7"/>
        <v>1573.2042645140061</v>
      </c>
    </row>
    <row r="100" spans="2:54" ht="12.75">
      <c r="B100" s="92" t="s">
        <v>145</v>
      </c>
      <c r="D100" s="92" t="s">
        <v>57</v>
      </c>
      <c r="AP100" s="131"/>
      <c r="AQ100" s="131"/>
      <c r="AR100" s="131"/>
      <c r="AS100" s="131"/>
      <c r="AT100" s="131"/>
      <c r="AU100" s="131"/>
      <c r="AV100" s="131">
        <f t="shared" si="4"/>
        <v>12329.649553652094</v>
      </c>
      <c r="AW100" s="131"/>
      <c r="AX100" s="131">
        <f t="shared" si="5"/>
        <v>16810.96265810031</v>
      </c>
      <c r="AY100" s="131"/>
      <c r="AZ100" s="131">
        <f t="shared" si="6"/>
        <v>20311.032512047972</v>
      </c>
      <c r="BA100" s="131"/>
      <c r="BB100" s="131">
        <f t="shared" si="7"/>
        <v>16483.881574600124</v>
      </c>
    </row>
    <row r="101" spans="2:54" ht="12.75">
      <c r="B101" s="92" t="s">
        <v>83</v>
      </c>
      <c r="D101" s="92" t="s">
        <v>57</v>
      </c>
      <c r="AP101" s="131"/>
      <c r="AQ101" s="131"/>
      <c r="AR101" s="131"/>
      <c r="AS101" s="131"/>
      <c r="AT101" s="131"/>
      <c r="AU101" s="131"/>
      <c r="AV101" s="131">
        <f t="shared" si="4"/>
        <v>130255.89772902682</v>
      </c>
      <c r="AW101" s="131"/>
      <c r="AX101" s="131">
        <f t="shared" si="5"/>
        <v>146904.66668204576</v>
      </c>
      <c r="AY101" s="131"/>
      <c r="AZ101" s="131">
        <f t="shared" si="6"/>
        <v>160286.78154889503</v>
      </c>
      <c r="BA101" s="131"/>
      <c r="BB101" s="131">
        <f t="shared" si="7"/>
        <v>145815.78198665587</v>
      </c>
    </row>
    <row r="102" spans="2:54" ht="12.75">
      <c r="B102" s="92" t="s">
        <v>85</v>
      </c>
      <c r="D102" s="92" t="s">
        <v>57</v>
      </c>
      <c r="AP102" s="131"/>
      <c r="AQ102" s="131"/>
      <c r="AR102" s="131"/>
      <c r="AS102" s="131"/>
      <c r="AT102" s="131"/>
      <c r="AU102" s="131"/>
      <c r="AV102" s="131">
        <f t="shared" si="4"/>
        <v>275.8188270520691</v>
      </c>
      <c r="AW102" s="131"/>
      <c r="AX102" s="131">
        <f t="shared" si="5"/>
        <v>327.58818715317994</v>
      </c>
      <c r="AY102" s="131"/>
      <c r="AZ102" s="131">
        <f t="shared" si="6"/>
        <v>134.00304202105158</v>
      </c>
      <c r="BA102" s="131"/>
      <c r="BB102" s="131">
        <f t="shared" si="7"/>
        <v>245.8033520754335</v>
      </c>
    </row>
    <row r="103" spans="2:54" ht="12.75">
      <c r="B103" s="92" t="s">
        <v>107</v>
      </c>
      <c r="D103" s="92" t="s">
        <v>57</v>
      </c>
      <c r="AP103" s="131"/>
      <c r="AQ103" s="131"/>
      <c r="AR103" s="131"/>
      <c r="AS103" s="131"/>
      <c r="AT103" s="131"/>
      <c r="AU103" s="131"/>
      <c r="AV103" s="131">
        <f t="shared" si="4"/>
        <v>312.35112202585304</v>
      </c>
      <c r="AW103" s="131"/>
      <c r="AX103" s="131">
        <f t="shared" si="5"/>
        <v>335.4346107975675</v>
      </c>
      <c r="AY103" s="131"/>
      <c r="AZ103" s="131">
        <f t="shared" si="6"/>
        <v>342.6649217395463</v>
      </c>
      <c r="BA103" s="131"/>
      <c r="BB103" s="131">
        <f t="shared" si="7"/>
        <v>330.1502181876556</v>
      </c>
    </row>
    <row r="104" spans="2:54" ht="12.75">
      <c r="B104" s="92" t="s">
        <v>58</v>
      </c>
      <c r="D104" s="92" t="s">
        <v>57</v>
      </c>
      <c r="AP104" s="131"/>
      <c r="AQ104" s="131"/>
      <c r="AR104" s="131"/>
      <c r="AS104" s="131"/>
      <c r="AT104" s="131"/>
      <c r="AU104" s="131"/>
      <c r="AV104" s="131">
        <f>AV101+AV99</f>
        <v>131649.60478227667</v>
      </c>
      <c r="AW104" s="131"/>
      <c r="AX104" s="131">
        <f>AX101+AX99</f>
        <v>148364.10147990184</v>
      </c>
      <c r="AY104" s="131"/>
      <c r="AZ104" s="131">
        <f>AZ101+AZ99</f>
        <v>162153.2524913311</v>
      </c>
      <c r="BA104" s="131"/>
      <c r="BB104" s="131">
        <f t="shared" si="7"/>
        <v>147388.98625116984</v>
      </c>
    </row>
    <row r="105" spans="2:54" ht="12.75">
      <c r="B105" s="92" t="s">
        <v>59</v>
      </c>
      <c r="D105" s="92" t="s">
        <v>57</v>
      </c>
      <c r="AP105" s="131"/>
      <c r="AQ105" s="131"/>
      <c r="AR105" s="131"/>
      <c r="AS105" s="131"/>
      <c r="AT105" s="131"/>
      <c r="AU105" s="131"/>
      <c r="AV105" s="131">
        <f>AV97+AV98+AV100</f>
        <v>31673.857758761456</v>
      </c>
      <c r="AW105" s="131"/>
      <c r="AX105" s="131">
        <f>AX97+AX98+AX100</f>
        <v>18457.093298545038</v>
      </c>
      <c r="AY105" s="131"/>
      <c r="AZ105" s="131">
        <f>AZ97+AZ98+AZ100</f>
        <v>39837.56910086293</v>
      </c>
      <c r="BA105" s="131"/>
      <c r="BB105" s="131">
        <f t="shared" si="7"/>
        <v>29989.506719389803</v>
      </c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7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O43"/>
  <sheetViews>
    <sheetView workbookViewId="0" topLeftCell="B1">
      <selection activeCell="B2" sqref="B2"/>
    </sheetView>
  </sheetViews>
  <sheetFormatPr defaultColWidth="9.140625" defaultRowHeight="12.75"/>
  <cols>
    <col min="1" max="1" width="3.8515625" style="0" hidden="1" customWidth="1"/>
    <col min="2" max="2" width="29.8515625" style="0" customWidth="1"/>
    <col min="4" max="4" width="3.140625" style="0" customWidth="1"/>
    <col min="5" max="8" width="10.7109375" style="0" customWidth="1"/>
  </cols>
  <sheetData>
    <row r="1" spans="2:6" ht="12.75">
      <c r="B1" s="6" t="s">
        <v>70</v>
      </c>
      <c r="C1" s="12"/>
      <c r="D1" s="12"/>
      <c r="E1" s="12"/>
      <c r="F1" s="12"/>
    </row>
    <row r="2" spans="1:23" ht="12.75">
      <c r="A2" t="s">
        <v>159</v>
      </c>
      <c r="B2" s="6"/>
      <c r="C2" s="12"/>
      <c r="D2" s="12"/>
      <c r="E2" s="12"/>
      <c r="F2" s="12"/>
      <c r="W2">
        <v>9</v>
      </c>
    </row>
    <row r="3" spans="2:6" ht="12.75">
      <c r="B3" s="12"/>
      <c r="C3" s="12"/>
      <c r="D3" s="12"/>
      <c r="E3" s="12"/>
      <c r="F3" s="12"/>
    </row>
    <row r="4" spans="1:35" ht="12.75">
      <c r="A4" t="s">
        <v>90</v>
      </c>
      <c r="B4" s="26" t="s">
        <v>140</v>
      </c>
      <c r="C4" s="21"/>
      <c r="D4" s="12"/>
      <c r="E4" s="80" t="s">
        <v>54</v>
      </c>
      <c r="F4" s="65"/>
      <c r="G4" s="65"/>
      <c r="H4" s="65"/>
      <c r="I4" s="65"/>
      <c r="J4" s="66"/>
      <c r="K4" s="80" t="s">
        <v>109</v>
      </c>
      <c r="L4" s="65"/>
      <c r="M4" s="65"/>
      <c r="N4" s="65"/>
      <c r="O4" s="65"/>
      <c r="P4" s="66"/>
      <c r="Q4" s="80" t="s">
        <v>55</v>
      </c>
      <c r="R4" s="65"/>
      <c r="S4" s="65"/>
      <c r="T4" s="65"/>
      <c r="U4" s="65"/>
      <c r="V4" s="66"/>
      <c r="W4" s="80" t="s">
        <v>164</v>
      </c>
      <c r="X4" s="65"/>
      <c r="Y4" s="65"/>
      <c r="Z4" s="65"/>
      <c r="AA4" s="65"/>
      <c r="AB4" s="66"/>
      <c r="AC4" s="80" t="s">
        <v>165</v>
      </c>
      <c r="AD4" s="65"/>
      <c r="AE4" s="65"/>
      <c r="AF4" s="65"/>
      <c r="AG4" s="65"/>
      <c r="AH4" s="66"/>
      <c r="AI4" t="s">
        <v>47</v>
      </c>
    </row>
    <row r="5" spans="2:34" ht="12.75">
      <c r="B5" s="12" t="s">
        <v>160</v>
      </c>
      <c r="C5" s="12"/>
      <c r="D5" s="12"/>
      <c r="E5" s="78">
        <v>0.6680439814814815</v>
      </c>
      <c r="F5" s="79">
        <v>0.7097222222222223</v>
      </c>
      <c r="G5" s="78">
        <v>0.751388888888889</v>
      </c>
      <c r="H5" s="78">
        <v>0.7992939814814815</v>
      </c>
      <c r="I5" s="78">
        <v>0.8347106481481482</v>
      </c>
      <c r="J5" s="12" t="s">
        <v>161</v>
      </c>
      <c r="K5" s="78">
        <v>0.37637731481481485</v>
      </c>
      <c r="L5" s="78">
        <v>0.41804398148148153</v>
      </c>
      <c r="M5" s="78">
        <v>0.4597222222222222</v>
      </c>
      <c r="N5" s="79">
        <v>0.5013773148148148</v>
      </c>
      <c r="O5" s="78">
        <v>0.5430555555555555</v>
      </c>
      <c r="P5" t="s">
        <v>162</v>
      </c>
      <c r="Q5" s="78">
        <v>0.5847106481481482</v>
      </c>
      <c r="R5" s="79">
        <v>0.6263773148148148</v>
      </c>
      <c r="S5" s="78">
        <v>0.6680555555555556</v>
      </c>
      <c r="T5" s="78">
        <v>0.7097106481481482</v>
      </c>
      <c r="U5" s="78">
        <v>0.7513773148148148</v>
      </c>
      <c r="V5" t="s">
        <v>163</v>
      </c>
      <c r="W5" s="78">
        <v>0.37637731481481485</v>
      </c>
      <c r="X5" s="78">
        <v>0.41804398148148153</v>
      </c>
      <c r="Y5" s="78">
        <v>0.45971064814814816</v>
      </c>
      <c r="Z5" s="78">
        <v>0.5013773148148148</v>
      </c>
      <c r="AA5" s="78">
        <v>0.5430439814814815</v>
      </c>
      <c r="AB5" t="s">
        <v>191</v>
      </c>
      <c r="AC5" s="78">
        <v>0.5847106481481482</v>
      </c>
      <c r="AD5" s="78">
        <v>0.6263773148148148</v>
      </c>
      <c r="AE5" s="78">
        <v>0.6680439814814815</v>
      </c>
      <c r="AF5" s="78">
        <v>0.7097106481481482</v>
      </c>
      <c r="AG5" s="78">
        <v>0.7513773148148148</v>
      </c>
      <c r="AH5" t="s">
        <v>190</v>
      </c>
    </row>
    <row r="6" spans="2:35" ht="14.25">
      <c r="B6" s="12" t="s">
        <v>148</v>
      </c>
      <c r="C6" s="7" t="s">
        <v>56</v>
      </c>
      <c r="D6" s="7"/>
      <c r="E6">
        <v>1960</v>
      </c>
      <c r="F6">
        <v>1955</v>
      </c>
      <c r="G6">
        <v>1917</v>
      </c>
      <c r="H6" s="78">
        <v>1936</v>
      </c>
      <c r="I6">
        <v>1875</v>
      </c>
      <c r="J6">
        <f>AVERAGE(E6:I6)</f>
        <v>1928.6</v>
      </c>
      <c r="K6">
        <v>1945</v>
      </c>
      <c r="L6">
        <v>1920</v>
      </c>
      <c r="M6">
        <v>1890</v>
      </c>
      <c r="N6">
        <v>1932</v>
      </c>
      <c r="O6">
        <v>1915</v>
      </c>
      <c r="P6">
        <f>AVERAGE(K6:O6)</f>
        <v>1920.4</v>
      </c>
      <c r="Q6">
        <v>1947</v>
      </c>
      <c r="R6">
        <v>1915</v>
      </c>
      <c r="S6">
        <v>1946</v>
      </c>
      <c r="T6">
        <v>1936</v>
      </c>
      <c r="U6">
        <v>1885</v>
      </c>
      <c r="V6">
        <f>AVERAGE(Q6:U6)</f>
        <v>1925.8</v>
      </c>
      <c r="W6">
        <v>1940</v>
      </c>
      <c r="X6">
        <v>1907</v>
      </c>
      <c r="Y6">
        <v>1961</v>
      </c>
      <c r="Z6">
        <v>1941</v>
      </c>
      <c r="AA6">
        <v>1945</v>
      </c>
      <c r="AB6">
        <f>AVERAGE(W6:AA6)</f>
        <v>1938.8</v>
      </c>
      <c r="AC6">
        <v>1956</v>
      </c>
      <c r="AD6">
        <v>1945</v>
      </c>
      <c r="AE6">
        <v>1936</v>
      </c>
      <c r="AF6">
        <v>1955</v>
      </c>
      <c r="AG6">
        <v>1863</v>
      </c>
      <c r="AH6">
        <f>AVERAGE(AC6:AG6)</f>
        <v>1931</v>
      </c>
      <c r="AI6">
        <f>AVERAGE(J6,P6,V6,AB6,AH6)</f>
        <v>1928.92</v>
      </c>
    </row>
    <row r="7" spans="2:35" ht="14.25">
      <c r="B7" s="12" t="s">
        <v>149</v>
      </c>
      <c r="C7" s="7" t="s">
        <v>56</v>
      </c>
      <c r="D7" s="7"/>
      <c r="E7">
        <v>1853</v>
      </c>
      <c r="F7" s="12">
        <v>1806</v>
      </c>
      <c r="G7">
        <v>1745</v>
      </c>
      <c r="H7">
        <v>1768</v>
      </c>
      <c r="I7">
        <v>1726</v>
      </c>
      <c r="J7">
        <f aca="true" t="shared" si="0" ref="J7:J15">AVERAGE(E7:I7)</f>
        <v>1779.6</v>
      </c>
      <c r="K7">
        <v>1773</v>
      </c>
      <c r="L7">
        <v>1774</v>
      </c>
      <c r="M7">
        <v>1766</v>
      </c>
      <c r="N7">
        <v>1792</v>
      </c>
      <c r="O7">
        <v>1738</v>
      </c>
      <c r="P7">
        <f aca="true" t="shared" si="1" ref="P7:P15">AVERAGE(K7:O7)</f>
        <v>1768.6</v>
      </c>
      <c r="Q7">
        <v>1800</v>
      </c>
      <c r="R7">
        <v>1748</v>
      </c>
      <c r="S7">
        <v>1787</v>
      </c>
      <c r="T7">
        <v>1774</v>
      </c>
      <c r="U7">
        <v>1751</v>
      </c>
      <c r="V7">
        <f aca="true" t="shared" si="2" ref="V7:V15">AVERAGE(Q7:U7)</f>
        <v>1772</v>
      </c>
      <c r="W7">
        <v>1784</v>
      </c>
      <c r="X7">
        <v>1766</v>
      </c>
      <c r="Y7">
        <v>1838</v>
      </c>
      <c r="Z7">
        <v>1826</v>
      </c>
      <c r="AA7">
        <v>1824</v>
      </c>
      <c r="AB7">
        <f aca="true" t="shared" si="3" ref="AB7:AB13">AVERAGE(W7:AA7)</f>
        <v>1807.6</v>
      </c>
      <c r="AC7">
        <v>1836</v>
      </c>
      <c r="AD7">
        <v>1832</v>
      </c>
      <c r="AE7">
        <v>1823</v>
      </c>
      <c r="AF7">
        <v>1843</v>
      </c>
      <c r="AG7">
        <v>1742</v>
      </c>
      <c r="AH7">
        <f aca="true" t="shared" si="4" ref="AH7:AH13">AVERAGE(AC7:AG7)</f>
        <v>1815.2</v>
      </c>
      <c r="AI7">
        <f aca="true" t="shared" si="5" ref="AI7:AI15">AVERAGE(J7,P7,V7,AB7,AH7)</f>
        <v>1788.6</v>
      </c>
    </row>
    <row r="8" spans="2:35" s="12" customFormat="1" ht="14.25">
      <c r="B8" s="12" t="s">
        <v>122</v>
      </c>
      <c r="C8" s="7" t="s">
        <v>56</v>
      </c>
      <c r="E8">
        <v>1465</v>
      </c>
      <c r="F8" s="12">
        <v>1445</v>
      </c>
      <c r="G8" s="12">
        <v>1437</v>
      </c>
      <c r="H8" s="12">
        <v>1436</v>
      </c>
      <c r="I8" s="12">
        <v>1442</v>
      </c>
      <c r="J8">
        <f t="shared" si="0"/>
        <v>1445</v>
      </c>
      <c r="K8">
        <v>1427</v>
      </c>
      <c r="L8">
        <v>1422</v>
      </c>
      <c r="M8">
        <v>1477</v>
      </c>
      <c r="N8">
        <v>1441</v>
      </c>
      <c r="O8">
        <v>1439</v>
      </c>
      <c r="P8">
        <f t="shared" si="1"/>
        <v>1441.2</v>
      </c>
      <c r="Q8">
        <v>1445</v>
      </c>
      <c r="R8">
        <v>1446</v>
      </c>
      <c r="S8">
        <v>1457</v>
      </c>
      <c r="T8">
        <v>1446</v>
      </c>
      <c r="U8">
        <v>1445</v>
      </c>
      <c r="V8">
        <f t="shared" si="2"/>
        <v>1447.8</v>
      </c>
      <c r="W8" s="12">
        <v>1454</v>
      </c>
      <c r="X8" s="12">
        <v>1444</v>
      </c>
      <c r="Y8" s="12">
        <v>1460</v>
      </c>
      <c r="Z8" s="12">
        <v>1443</v>
      </c>
      <c r="AA8" s="12">
        <v>1460</v>
      </c>
      <c r="AB8">
        <f t="shared" si="3"/>
        <v>1452.2</v>
      </c>
      <c r="AC8" s="12">
        <v>1450</v>
      </c>
      <c r="AD8" s="12">
        <v>1449</v>
      </c>
      <c r="AE8" s="12">
        <v>1446</v>
      </c>
      <c r="AF8" s="12">
        <v>1459</v>
      </c>
      <c r="AG8" s="12">
        <v>1440</v>
      </c>
      <c r="AH8">
        <f t="shared" si="4"/>
        <v>1448.8</v>
      </c>
      <c r="AI8">
        <f t="shared" si="5"/>
        <v>1447</v>
      </c>
    </row>
    <row r="9" spans="2:35" s="12" customFormat="1" ht="14.25">
      <c r="B9" s="12" t="s">
        <v>151</v>
      </c>
      <c r="C9" s="7" t="s">
        <v>56</v>
      </c>
      <c r="E9">
        <v>724</v>
      </c>
      <c r="F9" s="12">
        <v>722</v>
      </c>
      <c r="G9" s="12">
        <v>704</v>
      </c>
      <c r="H9" s="17">
        <v>689</v>
      </c>
      <c r="I9" s="17">
        <v>680</v>
      </c>
      <c r="J9">
        <f t="shared" si="0"/>
        <v>703.8</v>
      </c>
      <c r="K9">
        <v>694</v>
      </c>
      <c r="L9">
        <v>705</v>
      </c>
      <c r="M9">
        <v>703</v>
      </c>
      <c r="N9">
        <v>714</v>
      </c>
      <c r="O9">
        <v>711</v>
      </c>
      <c r="P9">
        <f t="shared" si="1"/>
        <v>705.4</v>
      </c>
      <c r="Q9">
        <v>717</v>
      </c>
      <c r="R9">
        <v>716</v>
      </c>
      <c r="S9">
        <v>713</v>
      </c>
      <c r="T9">
        <v>718</v>
      </c>
      <c r="U9">
        <v>718</v>
      </c>
      <c r="V9">
        <f t="shared" si="2"/>
        <v>716.4</v>
      </c>
      <c r="W9" s="17">
        <v>708</v>
      </c>
      <c r="X9" s="17">
        <v>709</v>
      </c>
      <c r="Y9" s="17">
        <v>709</v>
      </c>
      <c r="Z9" s="17">
        <v>712</v>
      </c>
      <c r="AA9" s="17">
        <v>712</v>
      </c>
      <c r="AB9">
        <f t="shared" si="3"/>
        <v>710</v>
      </c>
      <c r="AC9" s="12">
        <v>716</v>
      </c>
      <c r="AD9" s="12">
        <v>717</v>
      </c>
      <c r="AE9" s="12">
        <v>718</v>
      </c>
      <c r="AF9" s="12">
        <v>731</v>
      </c>
      <c r="AG9" s="12">
        <v>704</v>
      </c>
      <c r="AH9">
        <f t="shared" si="4"/>
        <v>717.2</v>
      </c>
      <c r="AI9">
        <f t="shared" si="5"/>
        <v>710.5600000000001</v>
      </c>
    </row>
    <row r="10" spans="2:35" s="12" customFormat="1" ht="14.25">
      <c r="B10" s="12" t="s">
        <v>150</v>
      </c>
      <c r="C10" s="7" t="s">
        <v>56</v>
      </c>
      <c r="E10">
        <v>402</v>
      </c>
      <c r="F10" s="12">
        <v>401</v>
      </c>
      <c r="G10" s="12">
        <v>399</v>
      </c>
      <c r="H10" s="17">
        <v>399</v>
      </c>
      <c r="I10" s="17">
        <v>399</v>
      </c>
      <c r="J10">
        <f t="shared" si="0"/>
        <v>400</v>
      </c>
      <c r="K10">
        <v>401</v>
      </c>
      <c r="L10">
        <v>400</v>
      </c>
      <c r="M10">
        <v>399</v>
      </c>
      <c r="N10">
        <v>399</v>
      </c>
      <c r="O10">
        <v>400</v>
      </c>
      <c r="P10">
        <f t="shared" si="1"/>
        <v>399.8</v>
      </c>
      <c r="Q10">
        <v>401</v>
      </c>
      <c r="R10">
        <v>398</v>
      </c>
      <c r="S10">
        <v>401</v>
      </c>
      <c r="T10">
        <v>400</v>
      </c>
      <c r="U10">
        <v>398</v>
      </c>
      <c r="V10">
        <f t="shared" si="2"/>
        <v>399.6</v>
      </c>
      <c r="W10" s="17">
        <v>399</v>
      </c>
      <c r="X10" s="17">
        <v>399</v>
      </c>
      <c r="Y10" s="17">
        <v>401</v>
      </c>
      <c r="Z10" s="17">
        <v>399</v>
      </c>
      <c r="AA10" s="17">
        <v>401</v>
      </c>
      <c r="AB10">
        <f t="shared" si="3"/>
        <v>399.8</v>
      </c>
      <c r="AC10" s="17">
        <v>400</v>
      </c>
      <c r="AD10" s="17">
        <v>401</v>
      </c>
      <c r="AE10" s="17">
        <v>399</v>
      </c>
      <c r="AF10" s="17">
        <v>401</v>
      </c>
      <c r="AG10" s="17">
        <v>399</v>
      </c>
      <c r="AH10">
        <f t="shared" si="4"/>
        <v>400</v>
      </c>
      <c r="AI10">
        <f t="shared" si="5"/>
        <v>399.84000000000003</v>
      </c>
    </row>
    <row r="11" spans="2:35" s="12" customFormat="1" ht="14.25">
      <c r="B11" s="12" t="s">
        <v>155</v>
      </c>
      <c r="C11" s="7" t="s">
        <v>56</v>
      </c>
      <c r="E11">
        <v>199</v>
      </c>
      <c r="F11" s="12">
        <v>199</v>
      </c>
      <c r="G11" s="12">
        <v>200</v>
      </c>
      <c r="H11" s="17">
        <v>201</v>
      </c>
      <c r="I11" s="17">
        <v>201</v>
      </c>
      <c r="J11">
        <f t="shared" si="0"/>
        <v>200</v>
      </c>
      <c r="K11">
        <v>199</v>
      </c>
      <c r="L11">
        <v>200</v>
      </c>
      <c r="M11">
        <v>200</v>
      </c>
      <c r="N11">
        <v>200</v>
      </c>
      <c r="O11">
        <v>199</v>
      </c>
      <c r="P11">
        <f t="shared" si="1"/>
        <v>199.6</v>
      </c>
      <c r="Q11">
        <v>200</v>
      </c>
      <c r="R11">
        <v>201</v>
      </c>
      <c r="S11">
        <v>201</v>
      </c>
      <c r="T11">
        <v>202</v>
      </c>
      <c r="U11">
        <v>202</v>
      </c>
      <c r="V11">
        <f t="shared" si="2"/>
        <v>201.2</v>
      </c>
      <c r="W11" s="17">
        <v>200</v>
      </c>
      <c r="X11" s="17">
        <v>202</v>
      </c>
      <c r="Y11" s="17">
        <v>203</v>
      </c>
      <c r="Z11" s="17">
        <v>203</v>
      </c>
      <c r="AA11" s="17">
        <v>203</v>
      </c>
      <c r="AB11">
        <f t="shared" si="3"/>
        <v>202.2</v>
      </c>
      <c r="AC11" s="17">
        <v>203</v>
      </c>
      <c r="AD11" s="17">
        <v>203</v>
      </c>
      <c r="AE11" s="17">
        <v>204</v>
      </c>
      <c r="AF11" s="17">
        <v>201</v>
      </c>
      <c r="AG11" s="17">
        <v>201</v>
      </c>
      <c r="AH11">
        <f t="shared" si="4"/>
        <v>202.4</v>
      </c>
      <c r="AI11">
        <f t="shared" si="5"/>
        <v>201.07999999999998</v>
      </c>
    </row>
    <row r="12" spans="2:35" ht="12.75">
      <c r="B12" s="12" t="s">
        <v>152</v>
      </c>
      <c r="C12" t="s">
        <v>153</v>
      </c>
      <c r="E12">
        <v>0</v>
      </c>
      <c r="F12" s="12">
        <v>0</v>
      </c>
      <c r="G12" s="12">
        <v>0</v>
      </c>
      <c r="H12" s="17">
        <v>0</v>
      </c>
      <c r="I12" s="17"/>
      <c r="J12">
        <f t="shared" si="0"/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f t="shared" si="1"/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f t="shared" si="2"/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>
        <f t="shared" si="3"/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>
        <f t="shared" si="4"/>
        <v>0</v>
      </c>
      <c r="AI12">
        <f t="shared" si="5"/>
        <v>0</v>
      </c>
    </row>
    <row r="13" spans="2:35" ht="12.75">
      <c r="B13" t="s">
        <v>154</v>
      </c>
      <c r="C13" t="s">
        <v>18</v>
      </c>
      <c r="E13">
        <v>13.4</v>
      </c>
      <c r="F13" s="12">
        <v>13.2</v>
      </c>
      <c r="G13" s="12">
        <v>14.1</v>
      </c>
      <c r="H13" s="17">
        <v>13.7</v>
      </c>
      <c r="I13" s="17">
        <v>14.1</v>
      </c>
      <c r="J13">
        <f t="shared" si="0"/>
        <v>13.7</v>
      </c>
      <c r="K13">
        <v>13.5</v>
      </c>
      <c r="L13">
        <v>13.5</v>
      </c>
      <c r="M13">
        <v>14.6</v>
      </c>
      <c r="N13">
        <v>13.2</v>
      </c>
      <c r="O13">
        <v>13.5</v>
      </c>
      <c r="P13">
        <f t="shared" si="1"/>
        <v>13.66</v>
      </c>
      <c r="Q13">
        <v>13.2</v>
      </c>
      <c r="R13">
        <v>13.9</v>
      </c>
      <c r="S13">
        <v>13.4</v>
      </c>
      <c r="T13">
        <v>13.2</v>
      </c>
      <c r="U13">
        <v>14.1</v>
      </c>
      <c r="V13">
        <f t="shared" si="2"/>
        <v>13.559999999999999</v>
      </c>
      <c r="W13" s="17">
        <v>13.1</v>
      </c>
      <c r="X13" s="17">
        <v>14.2</v>
      </c>
      <c r="Y13" s="17">
        <v>13.9</v>
      </c>
      <c r="Z13" s="17">
        <v>13.5</v>
      </c>
      <c r="AA13" s="17">
        <v>13.4</v>
      </c>
      <c r="AB13">
        <f t="shared" si="3"/>
        <v>13.62</v>
      </c>
      <c r="AC13">
        <v>13.4</v>
      </c>
      <c r="AD13">
        <v>13.9</v>
      </c>
      <c r="AE13">
        <v>13</v>
      </c>
      <c r="AF13">
        <v>13.1</v>
      </c>
      <c r="AG13">
        <v>13.1</v>
      </c>
      <c r="AH13">
        <f t="shared" si="4"/>
        <v>13.3</v>
      </c>
      <c r="AI13">
        <f t="shared" si="5"/>
        <v>13.568000000000001</v>
      </c>
    </row>
    <row r="14" spans="2:35" ht="12.75">
      <c r="B14" t="s">
        <v>156</v>
      </c>
      <c r="C14" t="s">
        <v>121</v>
      </c>
      <c r="G14" s="12">
        <v>93</v>
      </c>
      <c r="H14" s="17">
        <v>91</v>
      </c>
      <c r="I14" s="17">
        <v>91</v>
      </c>
      <c r="J14">
        <f t="shared" si="0"/>
        <v>91.66666666666667</v>
      </c>
      <c r="M14">
        <v>91</v>
      </c>
      <c r="N14">
        <v>89</v>
      </c>
      <c r="O14">
        <v>88</v>
      </c>
      <c r="P14">
        <f t="shared" si="1"/>
        <v>89.33333333333333</v>
      </c>
      <c r="S14">
        <v>91</v>
      </c>
      <c r="T14">
        <v>93</v>
      </c>
      <c r="U14">
        <v>93</v>
      </c>
      <c r="V14">
        <f t="shared" si="2"/>
        <v>92.33333333333333</v>
      </c>
      <c r="AB14">
        <v>92</v>
      </c>
      <c r="AH14">
        <v>94</v>
      </c>
      <c r="AI14">
        <f t="shared" si="5"/>
        <v>91.86666666666666</v>
      </c>
    </row>
    <row r="15" spans="2:35" ht="12.75">
      <c r="B15" t="s">
        <v>157</v>
      </c>
      <c r="C15" t="s">
        <v>158</v>
      </c>
      <c r="E15">
        <v>0</v>
      </c>
      <c r="F15">
        <v>0</v>
      </c>
      <c r="G15" s="12">
        <v>0</v>
      </c>
      <c r="H15" s="17">
        <v>0</v>
      </c>
      <c r="I15" s="17">
        <v>0</v>
      </c>
      <c r="J15">
        <f t="shared" si="0"/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f t="shared" si="1"/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f t="shared" si="2"/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f>AVERAGE(W15:AA15)</f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f>AVERAGE(AC15:AG15)</f>
        <v>0</v>
      </c>
      <c r="AI15">
        <f t="shared" si="5"/>
        <v>0</v>
      </c>
    </row>
    <row r="16" spans="9:13" ht="12.75">
      <c r="I16" s="17"/>
      <c r="M16" s="17"/>
    </row>
    <row r="17" spans="9:16" ht="12.75">
      <c r="I17" s="17"/>
      <c r="J17" s="17"/>
      <c r="K17" s="17"/>
      <c r="L17" s="17"/>
      <c r="M17" s="17"/>
      <c r="N17" s="17"/>
      <c r="O17" s="17"/>
      <c r="P17" s="17"/>
    </row>
    <row r="18" spans="1:35" ht="12.75">
      <c r="A18" t="s">
        <v>90</v>
      </c>
      <c r="B18" s="26" t="s">
        <v>174</v>
      </c>
      <c r="C18" s="21"/>
      <c r="D18" s="12"/>
      <c r="E18" s="80" t="s">
        <v>54</v>
      </c>
      <c r="F18" s="65"/>
      <c r="G18" s="65"/>
      <c r="H18" s="65"/>
      <c r="I18" s="65"/>
      <c r="J18" s="66"/>
      <c r="K18" s="80" t="s">
        <v>109</v>
      </c>
      <c r="L18" s="65"/>
      <c r="M18" s="65"/>
      <c r="N18" s="65"/>
      <c r="O18" s="65"/>
      <c r="P18" s="66"/>
      <c r="Q18" s="80" t="s">
        <v>55</v>
      </c>
      <c r="R18" s="65"/>
      <c r="S18" s="65"/>
      <c r="T18" s="65"/>
      <c r="U18" s="65"/>
      <c r="V18" s="66"/>
      <c r="W18" s="80" t="s">
        <v>164</v>
      </c>
      <c r="X18" s="65"/>
      <c r="Y18" s="65"/>
      <c r="Z18" s="65"/>
      <c r="AA18" s="65"/>
      <c r="AB18" s="66"/>
      <c r="AC18" s="80" t="s">
        <v>165</v>
      </c>
      <c r="AD18" s="65"/>
      <c r="AE18" s="65"/>
      <c r="AF18" s="65"/>
      <c r="AG18" s="65"/>
      <c r="AH18" s="66"/>
      <c r="AI18" t="s">
        <v>47</v>
      </c>
    </row>
    <row r="19" spans="2:34" ht="12.75">
      <c r="B19" s="12" t="s">
        <v>160</v>
      </c>
      <c r="C19" s="12"/>
      <c r="D19" s="12"/>
      <c r="E19" s="78">
        <v>0.5833333333333334</v>
      </c>
      <c r="F19" s="79">
        <v>0.625</v>
      </c>
      <c r="G19" s="78">
        <v>0.6666666666666666</v>
      </c>
      <c r="H19" s="78">
        <v>0.7083333333333334</v>
      </c>
      <c r="I19" s="78">
        <v>0.75</v>
      </c>
      <c r="J19" s="12" t="s">
        <v>161</v>
      </c>
      <c r="K19" s="78">
        <v>0.4166666666666667</v>
      </c>
      <c r="L19" s="78">
        <v>0.4583333333333333</v>
      </c>
      <c r="M19" s="78">
        <v>0.5</v>
      </c>
      <c r="N19" s="79">
        <v>0.5416666666666666</v>
      </c>
      <c r="O19" s="78">
        <v>0.5833333333333334</v>
      </c>
      <c r="P19" t="s">
        <v>162</v>
      </c>
      <c r="Q19" s="78">
        <v>0.625</v>
      </c>
      <c r="R19" s="79">
        <v>0.6666666666666666</v>
      </c>
      <c r="S19" s="78">
        <v>0.7083333333333334</v>
      </c>
      <c r="T19" s="78">
        <v>0.75</v>
      </c>
      <c r="U19" s="78"/>
      <c r="V19" t="s">
        <v>163</v>
      </c>
      <c r="W19" s="85">
        <v>0.375</v>
      </c>
      <c r="X19" s="85">
        <v>0.4166666666666667</v>
      </c>
      <c r="Y19" s="85">
        <v>0.4583333333333333</v>
      </c>
      <c r="Z19" s="85">
        <v>0.5</v>
      </c>
      <c r="AA19" s="85">
        <v>0.5416666666666666</v>
      </c>
      <c r="AB19" t="s">
        <v>191</v>
      </c>
      <c r="AC19" s="85">
        <v>0.5833333333333334</v>
      </c>
      <c r="AD19" s="85">
        <v>0.625</v>
      </c>
      <c r="AE19" s="85">
        <v>0.6666666666666666</v>
      </c>
      <c r="AF19" s="85">
        <v>0.7083333333333334</v>
      </c>
      <c r="AG19" s="85">
        <v>0.75</v>
      </c>
      <c r="AH19" t="s">
        <v>190</v>
      </c>
    </row>
    <row r="20" spans="2:35" ht="14.25">
      <c r="B20" s="12" t="s">
        <v>179</v>
      </c>
      <c r="C20" s="7" t="s">
        <v>56</v>
      </c>
      <c r="D20" s="7"/>
      <c r="E20">
        <v>1882.53</v>
      </c>
      <c r="F20">
        <v>1838.63</v>
      </c>
      <c r="G20">
        <v>1919.13</v>
      </c>
      <c r="H20" s="60">
        <v>1941.91</v>
      </c>
      <c r="I20">
        <v>1897.75</v>
      </c>
      <c r="J20">
        <f>AVERAGE(E20:I20)</f>
        <v>1895.9900000000002</v>
      </c>
      <c r="K20">
        <v>1928.38</v>
      </c>
      <c r="L20">
        <v>1861.41</v>
      </c>
      <c r="M20">
        <v>1892.06</v>
      </c>
      <c r="N20">
        <v>1915.56</v>
      </c>
      <c r="O20">
        <v>1904.16</v>
      </c>
      <c r="P20">
        <f>AVERAGE(K20:O20)</f>
        <v>1900.3139999999999</v>
      </c>
      <c r="Q20">
        <v>1924.81</v>
      </c>
      <c r="R20">
        <v>1923.41</v>
      </c>
      <c r="S20">
        <v>1927.66</v>
      </c>
      <c r="T20">
        <v>1923.41</v>
      </c>
      <c r="V20">
        <f>AVERAGE(Q20:U20)</f>
        <v>1924.8225</v>
      </c>
      <c r="W20">
        <v>1910.56</v>
      </c>
      <c r="X20">
        <v>1943.56</v>
      </c>
      <c r="Y20">
        <v>1943.34</v>
      </c>
      <c r="Z20">
        <v>1983.22</v>
      </c>
      <c r="AA20">
        <v>1930.5</v>
      </c>
      <c r="AB20">
        <f>AVERAGE(W20:AA20)</f>
        <v>1942.236</v>
      </c>
      <c r="AC20">
        <v>1960.44</v>
      </c>
      <c r="AD20">
        <v>1861.88</v>
      </c>
      <c r="AE20">
        <v>1945.47</v>
      </c>
      <c r="AF20">
        <v>1897.75</v>
      </c>
      <c r="AG20">
        <v>1982.28</v>
      </c>
      <c r="AH20">
        <f>AVERAGE(AC20:AG20)</f>
        <v>1929.5639999999999</v>
      </c>
      <c r="AI20">
        <f>AVERAGE(J20,P20,V20,AB20,AH20)</f>
        <v>1918.5853</v>
      </c>
    </row>
    <row r="21" spans="2:35" ht="14.25">
      <c r="B21" s="12" t="s">
        <v>180</v>
      </c>
      <c r="C21" s="7" t="s">
        <v>56</v>
      </c>
      <c r="D21" s="7"/>
      <c r="E21">
        <v>1705.78</v>
      </c>
      <c r="F21" s="12">
        <v>1669.78</v>
      </c>
      <c r="G21">
        <v>1670.5</v>
      </c>
      <c r="H21">
        <v>1678.34</v>
      </c>
      <c r="I21">
        <v>1687.22</v>
      </c>
      <c r="J21">
        <f>AVERAGE(E21:I21)</f>
        <v>1682.3239999999998</v>
      </c>
      <c r="K21">
        <v>1649.09</v>
      </c>
      <c r="L21">
        <v>1634.13</v>
      </c>
      <c r="M21">
        <v>1655.13</v>
      </c>
      <c r="N21">
        <v>1672.66</v>
      </c>
      <c r="O21">
        <v>1673.34</v>
      </c>
      <c r="P21">
        <f>AVERAGE(K21:O21)</f>
        <v>1656.8700000000001</v>
      </c>
      <c r="Q21">
        <v>1704.75</v>
      </c>
      <c r="R21">
        <v>1737.88</v>
      </c>
      <c r="S21">
        <v>1708.63</v>
      </c>
      <c r="T21">
        <v>1706.19</v>
      </c>
      <c r="V21">
        <f>AVERAGE(Q21:U21)</f>
        <v>1714.3625000000002</v>
      </c>
      <c r="W21">
        <v>1711.19</v>
      </c>
      <c r="X21">
        <v>1718.31</v>
      </c>
      <c r="Y21">
        <v>1772.81</v>
      </c>
      <c r="Z21">
        <v>1742.88</v>
      </c>
      <c r="AA21">
        <v>1742.88</v>
      </c>
      <c r="AB21">
        <f>AVERAGE(W21:AA21)</f>
        <v>1737.614</v>
      </c>
      <c r="AC21">
        <v>1798.94</v>
      </c>
      <c r="AD21">
        <v>1761.84</v>
      </c>
      <c r="AE21">
        <v>1766.84</v>
      </c>
      <c r="AF21">
        <v>1796.81</v>
      </c>
      <c r="AG21">
        <v>1790.38</v>
      </c>
      <c r="AH21">
        <f>AVERAGE(AC21:AG21)</f>
        <v>1782.9620000000002</v>
      </c>
      <c r="AI21">
        <f>AVERAGE(J21,P21,V21,AB21,AH21)</f>
        <v>1714.8265</v>
      </c>
    </row>
    <row r="22" spans="2:35" s="12" customFormat="1" ht="14.25">
      <c r="B22" s="12" t="s">
        <v>181</v>
      </c>
      <c r="C22" s="7" t="s">
        <v>56</v>
      </c>
      <c r="E22">
        <v>1425.28</v>
      </c>
      <c r="F22" s="12">
        <v>1404.13</v>
      </c>
      <c r="G22" s="12">
        <v>1443.91</v>
      </c>
      <c r="H22" s="12">
        <v>1446.78</v>
      </c>
      <c r="I22" s="12">
        <v>1488.69</v>
      </c>
      <c r="J22">
        <f>AVERAGE(E22:I22)</f>
        <v>1441.7579999999998</v>
      </c>
      <c r="K22">
        <v>1469.19</v>
      </c>
      <c r="L22">
        <v>1470.81</v>
      </c>
      <c r="M22">
        <v>1456.72</v>
      </c>
      <c r="N22">
        <v>1451.84</v>
      </c>
      <c r="O22">
        <v>1459.97</v>
      </c>
      <c r="P22">
        <f>AVERAGE(K22:O22)</f>
        <v>1461.7060000000001</v>
      </c>
      <c r="Q22">
        <v>1425.28</v>
      </c>
      <c r="R22">
        <v>1404.66</v>
      </c>
      <c r="S22">
        <v>1342.88</v>
      </c>
      <c r="T22">
        <v>1342.31</v>
      </c>
      <c r="U22"/>
      <c r="V22">
        <f>AVERAGE(Q22:U22)</f>
        <v>1378.7824999999998</v>
      </c>
      <c r="W22" s="12">
        <v>1463.22</v>
      </c>
      <c r="X22" s="12">
        <v>1460.5</v>
      </c>
      <c r="Y22" s="12">
        <v>1499.53</v>
      </c>
      <c r="Z22" s="12">
        <v>1479.5</v>
      </c>
      <c r="AA22" s="12">
        <v>1467.56</v>
      </c>
      <c r="AB22">
        <f>AVERAGE(W22:AA22)</f>
        <v>1474.062</v>
      </c>
      <c r="AC22" s="12">
        <v>1548.34</v>
      </c>
      <c r="AD22" s="12">
        <v>1447.5</v>
      </c>
      <c r="AE22" s="12">
        <v>1488.69</v>
      </c>
      <c r="AF22" s="12">
        <v>1524.13</v>
      </c>
      <c r="AG22" s="12">
        <v>1522.31</v>
      </c>
      <c r="AH22">
        <f>AVERAGE(AC22:AG22)</f>
        <v>1506.1940000000002</v>
      </c>
      <c r="AI22">
        <f>AVERAGE(J22,P22,V22,AB22,AH22)</f>
        <v>1452.5004999999999</v>
      </c>
    </row>
    <row r="23" spans="2:35" s="12" customFormat="1" ht="14.25">
      <c r="B23" s="12" t="s">
        <v>183</v>
      </c>
      <c r="C23" s="7" t="s">
        <v>56</v>
      </c>
      <c r="E23">
        <v>657.08</v>
      </c>
      <c r="F23" s="12">
        <v>650.55</v>
      </c>
      <c r="G23" s="12">
        <v>658.95</v>
      </c>
      <c r="H23" s="17">
        <v>654.67</v>
      </c>
      <c r="I23" s="17">
        <v>657.08</v>
      </c>
      <c r="J23">
        <f>AVERAGE(E23:I23)</f>
        <v>655.6659999999999</v>
      </c>
      <c r="K23">
        <v>765.69</v>
      </c>
      <c r="L23">
        <v>759.19</v>
      </c>
      <c r="M23">
        <v>767.45</v>
      </c>
      <c r="N23">
        <v>765.58</v>
      </c>
      <c r="O23">
        <v>773.83</v>
      </c>
      <c r="P23">
        <f>AVERAGE(K23:O23)</f>
        <v>766.348</v>
      </c>
      <c r="Q23">
        <v>779.33</v>
      </c>
      <c r="R23">
        <v>779.83</v>
      </c>
      <c r="S23">
        <v>765.58</v>
      </c>
      <c r="T23">
        <v>776.22</v>
      </c>
      <c r="U23"/>
      <c r="V23">
        <f>AVERAGE(Q23:U23)</f>
        <v>775.24</v>
      </c>
      <c r="W23" s="17">
        <v>723.91</v>
      </c>
      <c r="X23" s="17">
        <v>714.14</v>
      </c>
      <c r="Y23" s="17">
        <v>714.27</v>
      </c>
      <c r="Z23" s="17">
        <v>728.36</v>
      </c>
      <c r="AA23" s="17">
        <v>730.72</v>
      </c>
      <c r="AB23">
        <f>AVERAGE(W23:AA23)</f>
        <v>722.28</v>
      </c>
      <c r="AC23" s="17">
        <v>751.19</v>
      </c>
      <c r="AD23" s="17">
        <v>728.78</v>
      </c>
      <c r="AE23" s="17">
        <v>747.27</v>
      </c>
      <c r="AF23" s="17">
        <v>753.81</v>
      </c>
      <c r="AG23" s="17">
        <v>771.2</v>
      </c>
      <c r="AH23">
        <f>AVERAGE(AC23:AG23)</f>
        <v>750.45</v>
      </c>
      <c r="AI23">
        <f>AVERAGE(J23,P23,V23,AB23,AH23)</f>
        <v>733.9967999999999</v>
      </c>
    </row>
    <row r="24" spans="2:35" s="12" customFormat="1" ht="14.25">
      <c r="B24" s="12" t="s">
        <v>182</v>
      </c>
      <c r="C24" s="7" t="s">
        <v>56</v>
      </c>
      <c r="E24" s="12">
        <v>385.16</v>
      </c>
      <c r="F24" s="12">
        <v>383.58</v>
      </c>
      <c r="G24" s="12">
        <v>389.95</v>
      </c>
      <c r="H24" s="17">
        <v>384.18</v>
      </c>
      <c r="I24" s="17">
        <v>384.77</v>
      </c>
      <c r="J24">
        <f>AVERAGE(E24:I24)</f>
        <v>385.528</v>
      </c>
      <c r="K24">
        <v>379.75</v>
      </c>
      <c r="L24">
        <v>385.23</v>
      </c>
      <c r="M24">
        <v>393.48</v>
      </c>
      <c r="N24">
        <v>383.13</v>
      </c>
      <c r="O24">
        <v>386.42</v>
      </c>
      <c r="P24">
        <f>AVERAGE(K24:O24)</f>
        <v>385.60200000000003</v>
      </c>
      <c r="Q24">
        <v>385.69</v>
      </c>
      <c r="R24">
        <v>390.48</v>
      </c>
      <c r="S24">
        <v>391.53</v>
      </c>
      <c r="T24">
        <v>384.63</v>
      </c>
      <c r="U24"/>
      <c r="V24">
        <f>AVERAGE(Q24:U24)</f>
        <v>388.0825</v>
      </c>
      <c r="W24" s="12">
        <v>380.57</v>
      </c>
      <c r="X24" s="12">
        <v>384.03</v>
      </c>
      <c r="Y24" s="12">
        <v>384.63</v>
      </c>
      <c r="Z24" s="12">
        <v>384.85</v>
      </c>
      <c r="AA24" s="12">
        <v>385.39</v>
      </c>
      <c r="AB24">
        <f>AVERAGE(W24:AA24)</f>
        <v>383.89399999999995</v>
      </c>
      <c r="AC24" s="17">
        <v>384.09</v>
      </c>
      <c r="AD24" s="17">
        <v>382.76</v>
      </c>
      <c r="AE24" s="17">
        <v>389.66</v>
      </c>
      <c r="AF24" s="17">
        <v>385.76</v>
      </c>
      <c r="AG24" s="17">
        <v>385.83</v>
      </c>
      <c r="AH24">
        <f>AVERAGE(AC24:AG24)</f>
        <v>385.62</v>
      </c>
      <c r="AI24">
        <f>AVERAGE(J24,P24,V24,AB24,AH24)</f>
        <v>385.74530000000004</v>
      </c>
    </row>
    <row r="25" spans="3:23" s="12" customFormat="1" ht="14.25">
      <c r="C25" s="7"/>
      <c r="E25"/>
      <c r="H25" s="17"/>
      <c r="I25" s="17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2:9" ht="12.75">
      <c r="B26" s="12"/>
      <c r="F26" s="12"/>
      <c r="G26" s="12"/>
      <c r="H26" s="17"/>
      <c r="I26" s="17"/>
    </row>
    <row r="27" spans="1:35" ht="12.75">
      <c r="A27" t="s">
        <v>90</v>
      </c>
      <c r="B27" s="26" t="s">
        <v>188</v>
      </c>
      <c r="C27" s="21"/>
      <c r="D27" s="12"/>
      <c r="E27" s="80" t="s">
        <v>54</v>
      </c>
      <c r="F27" s="65"/>
      <c r="G27" s="65"/>
      <c r="H27" s="65"/>
      <c r="I27" s="65"/>
      <c r="J27" s="66"/>
      <c r="K27" s="80" t="s">
        <v>109</v>
      </c>
      <c r="L27" s="65"/>
      <c r="M27" s="65"/>
      <c r="N27" s="65"/>
      <c r="O27" s="65"/>
      <c r="P27" s="66"/>
      <c r="Q27" s="80" t="s">
        <v>55</v>
      </c>
      <c r="R27" s="65"/>
      <c r="S27" s="65"/>
      <c r="T27" s="65"/>
      <c r="U27" s="65"/>
      <c r="V27" s="66"/>
      <c r="W27" s="80" t="s">
        <v>164</v>
      </c>
      <c r="X27" s="65"/>
      <c r="Y27" s="65"/>
      <c r="Z27" s="65"/>
      <c r="AA27" s="65"/>
      <c r="AB27" s="66"/>
      <c r="AC27" s="80" t="s">
        <v>165</v>
      </c>
      <c r="AD27" s="65"/>
      <c r="AE27" s="65"/>
      <c r="AF27" s="65"/>
      <c r="AG27" s="65"/>
      <c r="AH27" s="66"/>
      <c r="AI27" t="s">
        <v>47</v>
      </c>
    </row>
    <row r="28" spans="2:34" ht="12.75">
      <c r="B28" s="12" t="s">
        <v>160</v>
      </c>
      <c r="C28" s="12"/>
      <c r="D28" s="12"/>
      <c r="E28" s="78">
        <v>0.6541666666666667</v>
      </c>
      <c r="F28" s="79">
        <f>(E28+G28)/2</f>
        <v>0.7006944444444445</v>
      </c>
      <c r="G28" s="78">
        <f>(I28+E28)/2</f>
        <v>0.7472222222222222</v>
      </c>
      <c r="H28" s="79">
        <f>(G28+I28)/2</f>
        <v>0.79375</v>
      </c>
      <c r="I28" s="78">
        <v>0.8402777777777778</v>
      </c>
      <c r="J28" s="12" t="s">
        <v>161</v>
      </c>
      <c r="K28" s="78">
        <v>0.3958333333333333</v>
      </c>
      <c r="L28" s="79">
        <f>(K28+M28)/2</f>
        <v>0.4399305555555555</v>
      </c>
      <c r="M28" s="78">
        <f>(O28+K28)/2</f>
        <v>0.4840277777777777</v>
      </c>
      <c r="N28" s="79">
        <f>(M28+O28)/2</f>
        <v>0.528125</v>
      </c>
      <c r="O28" s="78">
        <v>0.5722222222222222</v>
      </c>
      <c r="P28" t="s">
        <v>162</v>
      </c>
      <c r="Q28" s="78">
        <v>0.607638888888889</v>
      </c>
      <c r="R28" s="79">
        <f>(Q28+S28)/2</f>
        <v>0.6539930555555555</v>
      </c>
      <c r="S28" s="78">
        <f>(U28+Q28)/2</f>
        <v>0.7003472222222222</v>
      </c>
      <c r="T28" s="79">
        <f>(S28+U28)/2</f>
        <v>0.7467013888888889</v>
      </c>
      <c r="U28" s="78">
        <v>0.7930555555555556</v>
      </c>
      <c r="V28" t="s">
        <v>163</v>
      </c>
      <c r="W28" s="78">
        <v>0.4125</v>
      </c>
      <c r="X28" s="79">
        <f>(W28+Y28)/2</f>
        <v>0.4588541666666666</v>
      </c>
      <c r="Y28" s="78">
        <f>(AA28+W28)/2</f>
        <v>0.5052083333333333</v>
      </c>
      <c r="Z28" s="79">
        <f>(Y28+AA28)/2</f>
        <v>0.5515625</v>
      </c>
      <c r="AA28" s="78">
        <v>0.5979166666666667</v>
      </c>
      <c r="AB28" t="s">
        <v>191</v>
      </c>
      <c r="AC28" s="78">
        <v>0.6680555555555556</v>
      </c>
      <c r="AD28" s="79">
        <f>(AC28+AE28)/2</f>
        <v>0.7131944444444445</v>
      </c>
      <c r="AE28" s="78">
        <f>(AG28+AC28)/2</f>
        <v>0.7583333333333333</v>
      </c>
      <c r="AF28" s="79">
        <f>(AE28+AG28)/2</f>
        <v>0.8034722222222221</v>
      </c>
      <c r="AG28" s="78">
        <v>0.8486111111111111</v>
      </c>
      <c r="AH28" t="s">
        <v>190</v>
      </c>
    </row>
    <row r="29" spans="2:35" ht="14.25">
      <c r="B29" s="12" t="s">
        <v>179</v>
      </c>
      <c r="C29" s="7" t="s">
        <v>56</v>
      </c>
      <c r="D29" s="7"/>
      <c r="E29">
        <v>1837.906</v>
      </c>
      <c r="F29">
        <v>1874.969</v>
      </c>
      <c r="G29">
        <v>1927.656</v>
      </c>
      <c r="H29" s="60">
        <v>1863.563</v>
      </c>
      <c r="I29">
        <v>1997.25</v>
      </c>
      <c r="J29">
        <f>AVERAGE(E29:I29)</f>
        <v>1900.2688000000003</v>
      </c>
      <c r="K29">
        <v>1908.188</v>
      </c>
      <c r="L29">
        <v>1904.875</v>
      </c>
      <c r="M29">
        <v>1872.563</v>
      </c>
      <c r="N29">
        <v>1840.75</v>
      </c>
      <c r="O29">
        <v>1860</v>
      </c>
      <c r="P29">
        <f>AVERAGE(K29:O29)</f>
        <v>1877.2752</v>
      </c>
      <c r="Q29">
        <v>1884.938</v>
      </c>
      <c r="R29">
        <v>1844.313</v>
      </c>
      <c r="S29">
        <v>1848.594</v>
      </c>
      <c r="T29">
        <v>1906.281</v>
      </c>
      <c r="U29">
        <v>1897.75</v>
      </c>
      <c r="V29">
        <f>AVERAGE(Q29:U29)</f>
        <v>1876.3752</v>
      </c>
      <c r="W29">
        <v>1857.844</v>
      </c>
      <c r="X29">
        <v>1872.094</v>
      </c>
      <c r="Y29">
        <v>1854.281</v>
      </c>
      <c r="Z29">
        <v>1858.563</v>
      </c>
      <c r="AA29">
        <v>1900.594</v>
      </c>
      <c r="AB29">
        <f>AVERAGE(W29:AA29)</f>
        <v>1868.6752000000001</v>
      </c>
      <c r="AC29">
        <v>1832.656</v>
      </c>
      <c r="AD29">
        <v>1885.625</v>
      </c>
      <c r="AE29">
        <v>1894.656</v>
      </c>
      <c r="AF29">
        <v>1829.375</v>
      </c>
      <c r="AG29">
        <v>1932.406</v>
      </c>
      <c r="AH29">
        <f>AVERAGE(AC29:AG29)</f>
        <v>1874.9436</v>
      </c>
      <c r="AI29">
        <f>AVERAGE(J29,P29,V29,AB29,AH29)</f>
        <v>1879.5076000000001</v>
      </c>
    </row>
    <row r="30" spans="2:35" ht="14.25">
      <c r="B30" s="12" t="s">
        <v>180</v>
      </c>
      <c r="C30" s="7" t="s">
        <v>56</v>
      </c>
      <c r="D30" s="7"/>
      <c r="E30">
        <v>1671.938</v>
      </c>
      <c r="F30" s="12">
        <v>1733.594</v>
      </c>
      <c r="G30">
        <v>1745.438</v>
      </c>
      <c r="H30">
        <v>1722.875</v>
      </c>
      <c r="I30">
        <v>1776.125</v>
      </c>
      <c r="J30">
        <f>AVERAGE(E30:I30)</f>
        <v>1729.9940000000001</v>
      </c>
      <c r="K30">
        <v>1741.438</v>
      </c>
      <c r="L30">
        <v>1752.563</v>
      </c>
      <c r="M30">
        <v>1713.625</v>
      </c>
      <c r="N30">
        <v>1694.344</v>
      </c>
      <c r="O30">
        <v>1709.344</v>
      </c>
      <c r="P30">
        <f>AVERAGE(K30:O30)</f>
        <v>1722.2628</v>
      </c>
      <c r="Q30">
        <v>1725.75</v>
      </c>
      <c r="R30">
        <v>1747.156</v>
      </c>
      <c r="S30">
        <v>1715.75</v>
      </c>
      <c r="T30">
        <v>1700.781</v>
      </c>
      <c r="U30">
        <v>1740.438</v>
      </c>
      <c r="V30">
        <f>AVERAGE(Q30:U30)</f>
        <v>1725.975</v>
      </c>
      <c r="W30">
        <v>1743.281</v>
      </c>
      <c r="X30">
        <v>1738.594</v>
      </c>
      <c r="Y30">
        <v>1738.281</v>
      </c>
      <c r="Z30">
        <v>1731.875</v>
      </c>
      <c r="AA30">
        <v>1749</v>
      </c>
      <c r="AB30">
        <f>AVERAGE(W30:AA30)</f>
        <v>1740.2061999999999</v>
      </c>
      <c r="AC30">
        <v>1737.594</v>
      </c>
      <c r="AD30">
        <v>1753.563</v>
      </c>
      <c r="AE30">
        <v>1752.125</v>
      </c>
      <c r="AF30">
        <v>1747.156</v>
      </c>
      <c r="AG30">
        <v>1746.156</v>
      </c>
      <c r="AH30">
        <f>AVERAGE(AC30:AG30)</f>
        <v>1747.3188000000002</v>
      </c>
      <c r="AI30">
        <f>AVERAGE(J30,P30,V30,AB30,AH30)</f>
        <v>1733.1513599999998</v>
      </c>
    </row>
    <row r="31" spans="2:35" s="12" customFormat="1" ht="14.25">
      <c r="B31" s="12" t="s">
        <v>181</v>
      </c>
      <c r="C31" s="7" t="s">
        <v>56</v>
      </c>
      <c r="E31">
        <v>1381.375</v>
      </c>
      <c r="F31" s="12">
        <v>1518.531</v>
      </c>
      <c r="G31" s="12">
        <v>1525.031</v>
      </c>
      <c r="H31" s="12">
        <v>1471.344</v>
      </c>
      <c r="I31" s="12">
        <v>1635.625</v>
      </c>
      <c r="J31">
        <f>AVERAGE(E31:I31)</f>
        <v>1506.3812</v>
      </c>
      <c r="K31">
        <v>1406.313</v>
      </c>
      <c r="L31">
        <v>1450.75</v>
      </c>
      <c r="M31">
        <v>1421.125</v>
      </c>
      <c r="N31">
        <v>1417.156</v>
      </c>
      <c r="O31">
        <v>1444.781</v>
      </c>
      <c r="P31">
        <f>AVERAGE(K31:O31)</f>
        <v>1428.025</v>
      </c>
      <c r="Q31">
        <v>1492.5</v>
      </c>
      <c r="R31">
        <v>1430.5</v>
      </c>
      <c r="S31">
        <v>1470.281</v>
      </c>
      <c r="T31">
        <v>1495.75</v>
      </c>
      <c r="U31">
        <v>1525.938</v>
      </c>
      <c r="V31">
        <f>AVERAGE(Q31:U31)</f>
        <v>1482.9938</v>
      </c>
      <c r="W31">
        <v>1537.5</v>
      </c>
      <c r="X31" s="12">
        <v>1523.563</v>
      </c>
      <c r="Y31" s="12">
        <v>1564.219</v>
      </c>
      <c r="Z31" s="12">
        <v>1517.969</v>
      </c>
      <c r="AA31" s="12">
        <v>1537.565</v>
      </c>
      <c r="AB31">
        <f>AVERAGE(W31:AA31)</f>
        <v>1536.1632000000002</v>
      </c>
      <c r="AC31" s="12">
        <v>1528.813</v>
      </c>
      <c r="AD31" s="12">
        <v>1592.25</v>
      </c>
      <c r="AE31" s="12">
        <v>1566.219</v>
      </c>
      <c r="AF31" s="12">
        <v>1475.156</v>
      </c>
      <c r="AG31" s="12">
        <v>1546.156</v>
      </c>
      <c r="AH31">
        <f>AVERAGE(AC31:AG31)</f>
        <v>1541.7188</v>
      </c>
      <c r="AI31">
        <f>AVERAGE(J31,P31,V31,AB31,AH31)</f>
        <v>1499.0564000000002</v>
      </c>
    </row>
    <row r="32" spans="2:35" s="12" customFormat="1" ht="14.25">
      <c r="B32" s="12" t="s">
        <v>183</v>
      </c>
      <c r="C32" s="7" t="s">
        <v>56</v>
      </c>
      <c r="E32">
        <v>796</v>
      </c>
      <c r="F32" s="12">
        <v>927.2656</v>
      </c>
      <c r="G32" s="12">
        <v>928.5156</v>
      </c>
      <c r="H32" s="17">
        <v>884.9688</v>
      </c>
      <c r="I32" s="17">
        <v>939.6563</v>
      </c>
      <c r="J32">
        <f>AVERAGE(E32:I32)</f>
        <v>895.28126</v>
      </c>
      <c r="K32">
        <v>782.7031</v>
      </c>
      <c r="L32">
        <v>818.9063</v>
      </c>
      <c r="M32">
        <v>811.9844</v>
      </c>
      <c r="N32">
        <v>813.625</v>
      </c>
      <c r="O32">
        <v>823.1563</v>
      </c>
      <c r="P32">
        <f>AVERAGE(K32:O32)</f>
        <v>810.07502</v>
      </c>
      <c r="Q32">
        <v>850.7969</v>
      </c>
      <c r="R32">
        <v>823.5313</v>
      </c>
      <c r="S32">
        <v>819.7813</v>
      </c>
      <c r="T32">
        <v>819.0156</v>
      </c>
      <c r="U32">
        <v>861.6719</v>
      </c>
      <c r="V32">
        <f>AVERAGE(Q32:U32)</f>
        <v>834.9594000000001</v>
      </c>
      <c r="W32">
        <v>903.625</v>
      </c>
      <c r="X32" s="12">
        <v>885.8281</v>
      </c>
      <c r="Y32" s="12">
        <v>901.5</v>
      </c>
      <c r="Z32" s="12">
        <v>880</v>
      </c>
      <c r="AA32" s="12">
        <v>869.5938</v>
      </c>
      <c r="AB32">
        <f>AVERAGE(W32:AA32)</f>
        <v>888.1093799999999</v>
      </c>
      <c r="AC32" s="12">
        <v>887.4531</v>
      </c>
      <c r="AD32" s="12">
        <v>919.375</v>
      </c>
      <c r="AE32" s="12">
        <v>886.4531</v>
      </c>
      <c r="AF32" s="12">
        <v>831.7656</v>
      </c>
      <c r="AG32" s="12">
        <v>850.5625</v>
      </c>
      <c r="AH32">
        <f>AVERAGE(AC32:AG32)</f>
        <v>875.12186</v>
      </c>
      <c r="AI32">
        <f>AVERAGE(J32,P32,V32,AB32,AH32)</f>
        <v>860.709384</v>
      </c>
    </row>
    <row r="33" spans="2:35" s="12" customFormat="1" ht="14.25">
      <c r="B33" s="12" t="s">
        <v>182</v>
      </c>
      <c r="C33" s="7" t="s">
        <v>56</v>
      </c>
      <c r="E33" s="12">
        <v>403.3281</v>
      </c>
      <c r="F33" s="12">
        <v>403.2422</v>
      </c>
      <c r="G33" s="12">
        <v>397.4609</v>
      </c>
      <c r="H33" s="17">
        <v>404.6016</v>
      </c>
      <c r="I33" s="17">
        <v>404.9063</v>
      </c>
      <c r="J33">
        <f>AVERAGE(E33:I33)</f>
        <v>402.70781999999997</v>
      </c>
      <c r="K33">
        <v>398.75</v>
      </c>
      <c r="L33">
        <v>401</v>
      </c>
      <c r="M33">
        <v>403.0234</v>
      </c>
      <c r="N33">
        <v>396.4141</v>
      </c>
      <c r="O33">
        <v>399.875</v>
      </c>
      <c r="P33">
        <f>AVERAGE(K33:O33)</f>
        <v>399.8125</v>
      </c>
      <c r="Q33">
        <v>392.8203</v>
      </c>
      <c r="R33">
        <v>394.3906</v>
      </c>
      <c r="S33">
        <v>396.7266</v>
      </c>
      <c r="T33">
        <v>404.9844</v>
      </c>
      <c r="U33">
        <v>402.6484</v>
      </c>
      <c r="V33">
        <f>AVERAGE(Q33:U33)</f>
        <v>398.31406000000004</v>
      </c>
      <c r="W33">
        <v>394.7344</v>
      </c>
      <c r="X33" s="12">
        <v>398.6797</v>
      </c>
      <c r="Y33" s="12">
        <v>396.2656</v>
      </c>
      <c r="Z33" s="12">
        <v>403.8516</v>
      </c>
      <c r="AA33" s="12">
        <v>403.0156</v>
      </c>
      <c r="AB33">
        <f>AVERAGE(W33:AA33)</f>
        <v>399.30938</v>
      </c>
      <c r="AC33" s="12">
        <v>397.5469</v>
      </c>
      <c r="AD33" s="12">
        <v>392.7422</v>
      </c>
      <c r="AE33" s="12">
        <v>393.75</v>
      </c>
      <c r="AF33" s="12">
        <v>390.5625</v>
      </c>
      <c r="AG33" s="12">
        <v>394.8438</v>
      </c>
      <c r="AH33">
        <f>AVERAGE(AC33:AG33)</f>
        <v>393.88908000000004</v>
      </c>
      <c r="AI33">
        <f>AVERAGE(J33,P33,V33,AB33,AH33)</f>
        <v>398.80656799999997</v>
      </c>
    </row>
    <row r="34" spans="9:16" ht="12.75">
      <c r="I34" s="17"/>
      <c r="K34" s="17"/>
      <c r="L34" s="17"/>
      <c r="M34" s="17"/>
      <c r="O34" s="17"/>
      <c r="P34" s="17"/>
    </row>
    <row r="35" spans="9:16" ht="12.75">
      <c r="I35" s="17"/>
      <c r="J35" s="17"/>
      <c r="K35" s="17"/>
      <c r="L35" s="17"/>
      <c r="M35" s="17"/>
      <c r="N35" s="17"/>
      <c r="O35" s="17"/>
      <c r="P35" s="17"/>
    </row>
    <row r="36" spans="1:40" ht="12.75">
      <c r="A36" t="s">
        <v>90</v>
      </c>
      <c r="B36" s="26" t="s">
        <v>195</v>
      </c>
      <c r="C36" s="21"/>
      <c r="D36" s="12"/>
      <c r="E36" s="80" t="s">
        <v>267</v>
      </c>
      <c r="F36" s="65"/>
      <c r="G36" s="65"/>
      <c r="H36" s="65"/>
      <c r="I36" s="65"/>
      <c r="J36" s="66"/>
      <c r="K36" s="80" t="s">
        <v>268</v>
      </c>
      <c r="L36" s="65"/>
      <c r="M36" s="65"/>
      <c r="N36" s="65"/>
      <c r="O36" s="65"/>
      <c r="P36" s="66"/>
      <c r="Q36" s="80" t="s">
        <v>269</v>
      </c>
      <c r="R36" s="65"/>
      <c r="S36" s="65"/>
      <c r="T36" s="65"/>
      <c r="U36" s="65"/>
      <c r="V36" s="66"/>
      <c r="W36" s="80" t="s">
        <v>270</v>
      </c>
      <c r="X36" s="65"/>
      <c r="Y36" s="65"/>
      <c r="Z36" s="65"/>
      <c r="AA36" s="65"/>
      <c r="AB36" s="66"/>
      <c r="AC36" s="80" t="s">
        <v>271</v>
      </c>
      <c r="AD36" s="65"/>
      <c r="AE36" s="65"/>
      <c r="AF36" s="65"/>
      <c r="AG36" s="65"/>
      <c r="AH36" s="66"/>
      <c r="AI36" s="80" t="s">
        <v>272</v>
      </c>
      <c r="AJ36" s="65"/>
      <c r="AK36" s="65"/>
      <c r="AL36" s="65"/>
      <c r="AM36" s="65"/>
      <c r="AN36" s="66"/>
    </row>
    <row r="37" spans="2:41" ht="12.75">
      <c r="B37" s="12" t="s">
        <v>160</v>
      </c>
      <c r="C37" s="12"/>
      <c r="D37" s="12"/>
      <c r="E37" s="78">
        <v>0.5895833333333333</v>
      </c>
      <c r="F37" s="79">
        <f>(E37+G37)/2</f>
        <v>0.6359375</v>
      </c>
      <c r="G37" s="78">
        <f>(I37+E37)/2</f>
        <v>0.6822916666666667</v>
      </c>
      <c r="H37" s="79">
        <f>(G37+I37)/2</f>
        <v>0.7286458333333334</v>
      </c>
      <c r="I37" s="78">
        <v>0.775</v>
      </c>
      <c r="J37" s="12" t="s">
        <v>161</v>
      </c>
      <c r="K37" s="78">
        <v>0.3597222222222222</v>
      </c>
      <c r="L37" s="79">
        <f>(K37+M37)/2</f>
        <v>0.41284722222222225</v>
      </c>
      <c r="M37" s="78">
        <f>(O37+K37)/2</f>
        <v>0.46597222222222223</v>
      </c>
      <c r="N37" s="79">
        <f>(M37+O37)/2</f>
        <v>0.5190972222222222</v>
      </c>
      <c r="O37" s="78">
        <v>0.5722222222222222</v>
      </c>
      <c r="P37" t="s">
        <v>162</v>
      </c>
      <c r="Q37" s="78">
        <v>0.6166666666666667</v>
      </c>
      <c r="R37" s="79">
        <f>(Q37+S37)/2</f>
        <v>0.6642361111111111</v>
      </c>
      <c r="S37" s="78">
        <f>(U37+Q37)/2</f>
        <v>0.7118055555555556</v>
      </c>
      <c r="T37" s="79">
        <f>(S37+U37)/2</f>
        <v>0.759375</v>
      </c>
      <c r="U37" s="78">
        <v>0.8069444444444445</v>
      </c>
      <c r="V37" t="s">
        <v>163</v>
      </c>
      <c r="W37" s="78">
        <v>0.3423611111111111</v>
      </c>
      <c r="X37" s="79">
        <f>(W37+Y37)/2</f>
        <v>0.38819444444444445</v>
      </c>
      <c r="Y37" s="78">
        <f>(AA37+W37)/2</f>
        <v>0.4340277777777778</v>
      </c>
      <c r="Z37" s="79">
        <f>(Y37+AA37)/2</f>
        <v>0.4798611111111111</v>
      </c>
      <c r="AA37" s="78">
        <v>0.5256944444444445</v>
      </c>
      <c r="AB37" t="s">
        <v>191</v>
      </c>
      <c r="AC37" s="78">
        <v>0.5520833333333334</v>
      </c>
      <c r="AD37" s="79">
        <f>(AC37+AE37)/2</f>
        <v>0.5954861111111112</v>
      </c>
      <c r="AE37" s="78">
        <f>(AG37+AC37)/2</f>
        <v>0.638888888888889</v>
      </c>
      <c r="AF37" s="79">
        <f>(AE37+AG37)/2</f>
        <v>0.6822916666666667</v>
      </c>
      <c r="AG37" s="78">
        <v>0.7256944444444445</v>
      </c>
      <c r="AH37" t="s">
        <v>190</v>
      </c>
      <c r="AI37" s="78">
        <v>0.3416666666666666</v>
      </c>
      <c r="AJ37" s="79">
        <f>(AI37+AK37)/2</f>
        <v>0.3847222222222222</v>
      </c>
      <c r="AK37" s="78">
        <f>(AM37+AI37)/2</f>
        <v>0.4277777777777778</v>
      </c>
      <c r="AL37" s="79">
        <f>(AK37+AM37)/2</f>
        <v>0.4708333333333334</v>
      </c>
      <c r="AM37" s="78">
        <v>0.513888888888889</v>
      </c>
      <c r="AN37" t="s">
        <v>273</v>
      </c>
      <c r="AO37" t="s">
        <v>47</v>
      </c>
    </row>
    <row r="38" spans="2:41" ht="14.25">
      <c r="B38" s="12" t="s">
        <v>179</v>
      </c>
      <c r="C38" s="7" t="s">
        <v>56</v>
      </c>
      <c r="D38" s="7"/>
      <c r="E38">
        <v>1865.69</v>
      </c>
      <c r="F38">
        <v>1864.97</v>
      </c>
      <c r="G38">
        <v>1887.78</v>
      </c>
      <c r="H38" s="60">
        <v>1907.72</v>
      </c>
      <c r="I38">
        <v>1873.53</v>
      </c>
      <c r="J38">
        <f>AVERAGE(E38:I38)</f>
        <v>1879.938</v>
      </c>
      <c r="K38">
        <v>1875.66</v>
      </c>
      <c r="L38">
        <v>1887.06</v>
      </c>
      <c r="M38">
        <v>1899.88</v>
      </c>
      <c r="N38">
        <v>1871.41</v>
      </c>
      <c r="O38">
        <v>1892.06</v>
      </c>
      <c r="P38">
        <f>AVERAGE(K38:O38)</f>
        <v>1885.214</v>
      </c>
      <c r="Q38">
        <v>1917.69</v>
      </c>
      <c r="R38">
        <v>1978.25</v>
      </c>
      <c r="S38">
        <v>2046.63</v>
      </c>
      <c r="T38">
        <v>1859.28</v>
      </c>
      <c r="U38">
        <v>1870.69</v>
      </c>
      <c r="V38">
        <f>AVERAGE(Q38:U38)</f>
        <v>1934.5079999999998</v>
      </c>
      <c r="W38">
        <v>2018.13</v>
      </c>
      <c r="X38">
        <v>2004.38</v>
      </c>
      <c r="Y38">
        <v>2002.47</v>
      </c>
      <c r="Z38">
        <v>2080.81</v>
      </c>
      <c r="AA38">
        <v>1915.56</v>
      </c>
      <c r="AB38">
        <f>AVERAGE(W38:AA38)</f>
        <v>2004.27</v>
      </c>
      <c r="AC38">
        <v>1951.16</v>
      </c>
      <c r="AD38">
        <v>1962.56</v>
      </c>
      <c r="AE38">
        <v>1924.09</v>
      </c>
      <c r="AF38">
        <v>1924.09</v>
      </c>
      <c r="AG38">
        <v>1914.13</v>
      </c>
      <c r="AH38">
        <f>AVERAGE(AC38:AG38)</f>
        <v>1935.2060000000001</v>
      </c>
      <c r="AI38">
        <v>1908.91</v>
      </c>
      <c r="AJ38">
        <v>1924.09</v>
      </c>
      <c r="AK38">
        <v>1908.44</v>
      </c>
      <c r="AL38">
        <v>1908.44</v>
      </c>
      <c r="AM38">
        <v>1885.38</v>
      </c>
      <c r="AN38">
        <f>AVERAGE(AI38:AM38)</f>
        <v>1907.0520000000004</v>
      </c>
      <c r="AO38">
        <f>AVERAGE(J38,P38,V38,AB38,AH38,AN38)</f>
        <v>1924.3646666666666</v>
      </c>
    </row>
    <row r="39" spans="2:41" ht="14.25">
      <c r="B39" s="12" t="s">
        <v>180</v>
      </c>
      <c r="C39" s="7" t="s">
        <v>56</v>
      </c>
      <c r="D39" s="7"/>
      <c r="E39">
        <v>1701.5</v>
      </c>
      <c r="F39" s="12">
        <v>1717.59</v>
      </c>
      <c r="G39">
        <v>1750.72</v>
      </c>
      <c r="H39">
        <v>1757.56</v>
      </c>
      <c r="I39">
        <v>1773.97</v>
      </c>
      <c r="J39">
        <f>AVERAGE(E39:I39)</f>
        <v>1740.268</v>
      </c>
      <c r="K39">
        <v>1722.19</v>
      </c>
      <c r="L39">
        <v>1744.28</v>
      </c>
      <c r="M39">
        <v>1757.56</v>
      </c>
      <c r="N39">
        <v>1760.69</v>
      </c>
      <c r="O39">
        <v>1790.66</v>
      </c>
      <c r="P39">
        <f>AVERAGE(K39:O39)</f>
        <v>1755.0760000000002</v>
      </c>
      <c r="Q39">
        <v>1742.88</v>
      </c>
      <c r="R39">
        <v>1756.41</v>
      </c>
      <c r="S39">
        <v>1833.19</v>
      </c>
      <c r="T39">
        <v>1772.81</v>
      </c>
      <c r="U39">
        <v>1784.69</v>
      </c>
      <c r="V39">
        <f>AVERAGE(Q39:U39)</f>
        <v>1777.9959999999999</v>
      </c>
      <c r="W39">
        <v>1818.94</v>
      </c>
      <c r="X39">
        <v>1817.5</v>
      </c>
      <c r="Y39">
        <v>1981.84</v>
      </c>
      <c r="Z39">
        <v>1910.97</v>
      </c>
      <c r="AA39">
        <v>1747.84</v>
      </c>
      <c r="AB39">
        <f>AVERAGE(W39:AA39)</f>
        <v>1855.4180000000001</v>
      </c>
      <c r="AC39">
        <v>1769.25</v>
      </c>
      <c r="AD39">
        <v>1813.5</v>
      </c>
      <c r="AE39">
        <v>1739.28</v>
      </c>
      <c r="AF39">
        <v>1742.56</v>
      </c>
      <c r="AG39">
        <v>1772.81</v>
      </c>
      <c r="AH39">
        <f>AVERAGE(AC39:AG39)</f>
        <v>1767.48</v>
      </c>
      <c r="AI39">
        <v>1828.91</v>
      </c>
      <c r="AJ39">
        <v>1854.88</v>
      </c>
      <c r="AK39">
        <v>1893.38</v>
      </c>
      <c r="AL39">
        <v>1778.97</v>
      </c>
      <c r="AM39">
        <v>1821.06</v>
      </c>
      <c r="AN39">
        <f>AVERAGE(AI39:AM39)</f>
        <v>1835.44</v>
      </c>
      <c r="AO39">
        <f>AVERAGE(J39,P39,V39,AB39,AH39,AN39)</f>
        <v>1788.613</v>
      </c>
    </row>
    <row r="40" spans="2:41" s="12" customFormat="1" ht="14.25">
      <c r="B40" s="12" t="s">
        <v>181</v>
      </c>
      <c r="C40" s="7" t="s">
        <v>56</v>
      </c>
      <c r="E40">
        <v>1402.31</v>
      </c>
      <c r="F40" s="12">
        <v>1413.16</v>
      </c>
      <c r="G40" s="12">
        <v>1427.63</v>
      </c>
      <c r="H40" s="12">
        <v>1489.44</v>
      </c>
      <c r="I40" s="12">
        <v>1445.69</v>
      </c>
      <c r="J40">
        <f>AVERAGE(E40:I40)</f>
        <v>1435.6460000000002</v>
      </c>
      <c r="K40">
        <v>1409</v>
      </c>
      <c r="L40">
        <v>1436.66</v>
      </c>
      <c r="M40">
        <v>1441.53</v>
      </c>
      <c r="N40">
        <v>1453.47</v>
      </c>
      <c r="O40">
        <v>1428.53</v>
      </c>
      <c r="P40">
        <f>AVERAGE(K40:O40)</f>
        <v>1433.838</v>
      </c>
      <c r="Q40">
        <v>1455.09</v>
      </c>
      <c r="R40">
        <v>1447.16</v>
      </c>
      <c r="S40">
        <v>1560.97</v>
      </c>
      <c r="T40">
        <v>1451.84</v>
      </c>
      <c r="U40">
        <v>1441.53</v>
      </c>
      <c r="V40">
        <f>AVERAGE(Q40:U40)</f>
        <v>1471.318</v>
      </c>
      <c r="W40">
        <v>1481.13</v>
      </c>
      <c r="X40" s="12">
        <v>1502.97</v>
      </c>
      <c r="Y40" s="12">
        <v>1571.25</v>
      </c>
      <c r="Z40" s="12">
        <v>1562.44</v>
      </c>
      <c r="AA40" s="12">
        <v>1405.22</v>
      </c>
      <c r="AB40">
        <f>AVERAGE(W40:AA40)</f>
        <v>1504.6020000000003</v>
      </c>
      <c r="AC40" s="12">
        <v>1450.75</v>
      </c>
      <c r="AD40" s="12">
        <v>1496.28</v>
      </c>
      <c r="AE40" s="12">
        <v>1428.69</v>
      </c>
      <c r="AF40" s="12">
        <v>1419.31</v>
      </c>
      <c r="AG40" s="12">
        <v>1461.41</v>
      </c>
      <c r="AH40">
        <f>AVERAGE(AC40:AG40)</f>
        <v>1451.2879999999998</v>
      </c>
      <c r="AI40">
        <v>1506.59</v>
      </c>
      <c r="AJ40" s="12">
        <v>1549.03</v>
      </c>
      <c r="AK40" s="12">
        <v>1550.66</v>
      </c>
      <c r="AL40" s="12">
        <v>1458.53</v>
      </c>
      <c r="AM40" s="12">
        <v>1479.66</v>
      </c>
      <c r="AN40">
        <f>AVERAGE(AI40:AM40)</f>
        <v>1508.8939999999998</v>
      </c>
      <c r="AO40">
        <f>AVERAGE(J40,P40,V40,AB40,AH40,AN40)</f>
        <v>1467.5976666666666</v>
      </c>
    </row>
    <row r="41" spans="2:41" s="12" customFormat="1" ht="14.25">
      <c r="B41" s="12" t="s">
        <v>183</v>
      </c>
      <c r="C41" s="7" t="s">
        <v>56</v>
      </c>
      <c r="E41">
        <v>791</v>
      </c>
      <c r="F41" s="12">
        <v>804.36</v>
      </c>
      <c r="G41" s="12">
        <v>814.5</v>
      </c>
      <c r="H41" s="17">
        <v>820.28</v>
      </c>
      <c r="I41" s="17">
        <v>842.03</v>
      </c>
      <c r="J41">
        <f>AVERAGE(E41:I41)</f>
        <v>814.434</v>
      </c>
      <c r="K41">
        <v>862.8</v>
      </c>
      <c r="L41">
        <v>865.94</v>
      </c>
      <c r="M41">
        <v>868.33</v>
      </c>
      <c r="N41">
        <v>866.45</v>
      </c>
      <c r="O41">
        <v>878.33</v>
      </c>
      <c r="P41">
        <f>AVERAGE(K41:O41)</f>
        <v>868.3700000000001</v>
      </c>
      <c r="Q41">
        <v>875.7</v>
      </c>
      <c r="R41">
        <v>878.58</v>
      </c>
      <c r="S41">
        <v>918.52</v>
      </c>
      <c r="T41">
        <v>894.36</v>
      </c>
      <c r="U41">
        <v>899.48</v>
      </c>
      <c r="V41">
        <f>AVERAGE(Q41:U41)</f>
        <v>893.3280000000001</v>
      </c>
      <c r="W41">
        <v>705.02</v>
      </c>
      <c r="X41" s="12">
        <v>730.28</v>
      </c>
      <c r="Y41" s="12">
        <v>778.59</v>
      </c>
      <c r="Z41" s="12">
        <v>761.33</v>
      </c>
      <c r="AA41" s="12">
        <v>737.41</v>
      </c>
      <c r="AB41">
        <f>AVERAGE(W41:AA41)</f>
        <v>742.526</v>
      </c>
      <c r="AC41" s="12">
        <v>755.31</v>
      </c>
      <c r="AD41" s="12">
        <v>774.47</v>
      </c>
      <c r="AE41" s="12">
        <v>769.95</v>
      </c>
      <c r="AF41" s="12">
        <v>775.08</v>
      </c>
      <c r="AG41" s="12">
        <v>795.73</v>
      </c>
      <c r="AH41">
        <f>AVERAGE(AC41:AG41)</f>
        <v>774.108</v>
      </c>
      <c r="AI41">
        <v>871.2</v>
      </c>
      <c r="AJ41" s="12">
        <v>882</v>
      </c>
      <c r="AK41" s="12">
        <v>887.58</v>
      </c>
      <c r="AL41" s="12">
        <v>838.28</v>
      </c>
      <c r="AM41" s="12">
        <v>858.3</v>
      </c>
      <c r="AN41">
        <f>AVERAGE(AI41:AM41)</f>
        <v>867.4720000000001</v>
      </c>
      <c r="AO41">
        <f>AVERAGE(J41,P41,V41,AB41,AH41,AN41)</f>
        <v>826.7063333333332</v>
      </c>
    </row>
    <row r="42" spans="2:41" s="12" customFormat="1" ht="14.25">
      <c r="B42" s="12" t="s">
        <v>182</v>
      </c>
      <c r="C42" s="7" t="s">
        <v>56</v>
      </c>
      <c r="E42" s="12">
        <v>403.1</v>
      </c>
      <c r="F42" s="12">
        <v>364.8</v>
      </c>
      <c r="G42" s="12">
        <v>396.64</v>
      </c>
      <c r="H42" s="17">
        <v>393.49</v>
      </c>
      <c r="I42" s="17">
        <v>395.89</v>
      </c>
      <c r="J42">
        <f>AVERAGE(E42:I42)</f>
        <v>390.784</v>
      </c>
      <c r="K42">
        <v>387.93</v>
      </c>
      <c r="L42">
        <v>394.99</v>
      </c>
      <c r="M42">
        <v>391.7</v>
      </c>
      <c r="N42">
        <v>390.34</v>
      </c>
      <c r="O42">
        <v>383.59</v>
      </c>
      <c r="P42">
        <f>AVERAGE(K42:O42)</f>
        <v>389.71</v>
      </c>
      <c r="Q42">
        <v>407.23</v>
      </c>
      <c r="R42">
        <v>384.34</v>
      </c>
      <c r="S42">
        <v>453.87</v>
      </c>
      <c r="T42">
        <v>387.63</v>
      </c>
      <c r="U42">
        <v>391.09</v>
      </c>
      <c r="V42">
        <f>AVERAGE(Q42:U42)</f>
        <v>404.832</v>
      </c>
      <c r="W42">
        <v>391.09</v>
      </c>
      <c r="X42" s="12">
        <v>388.68</v>
      </c>
      <c r="Y42" s="12">
        <v>352.95</v>
      </c>
      <c r="Z42" s="12">
        <v>391.39</v>
      </c>
      <c r="AA42" s="12">
        <v>394.54</v>
      </c>
      <c r="AB42">
        <f>AVERAGE(W42:AA42)</f>
        <v>383.73</v>
      </c>
      <c r="AC42" s="12">
        <v>392.14</v>
      </c>
      <c r="AD42" s="12">
        <v>386.73</v>
      </c>
      <c r="AE42" s="12">
        <v>393.86</v>
      </c>
      <c r="AF42" s="12">
        <v>387.93</v>
      </c>
      <c r="AG42" s="12">
        <v>390.03</v>
      </c>
      <c r="AH42">
        <f>AVERAGE(AC42:AG42)</f>
        <v>390.13800000000003</v>
      </c>
      <c r="AI42">
        <v>389.69</v>
      </c>
      <c r="AJ42" s="12">
        <v>391.7</v>
      </c>
      <c r="AK42" s="12">
        <v>388.34</v>
      </c>
      <c r="AL42" s="12">
        <v>407.23</v>
      </c>
      <c r="AM42" s="12">
        <v>406.41</v>
      </c>
      <c r="AN42">
        <f>AVERAGE(AI42:AM42)</f>
        <v>396.67400000000004</v>
      </c>
      <c r="AO42">
        <f>AVERAGE(J42,P42,V42,AB42,AH42,AN42)</f>
        <v>392.64466666666664</v>
      </c>
    </row>
    <row r="43" spans="9:16" ht="12.75">
      <c r="I43" s="17"/>
      <c r="K43" s="17"/>
      <c r="L43" s="17"/>
      <c r="M43" s="17"/>
      <c r="O43" s="17"/>
      <c r="P43" s="17"/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52"/>
  <sheetViews>
    <sheetView workbookViewId="0" topLeftCell="C1">
      <selection activeCell="B2" sqref="B2"/>
    </sheetView>
  </sheetViews>
  <sheetFormatPr defaultColWidth="9.140625" defaultRowHeight="12.75"/>
  <cols>
    <col min="1" max="2" width="8.00390625" style="0" hidden="1" customWidth="1"/>
    <col min="3" max="3" width="26.28125" style="0" customWidth="1"/>
  </cols>
  <sheetData>
    <row r="1" ht="12.75">
      <c r="C1" s="6" t="s">
        <v>419</v>
      </c>
    </row>
    <row r="3" spans="3:7" ht="12.75">
      <c r="C3" s="16" t="s">
        <v>291</v>
      </c>
      <c r="E3" s="50" t="s">
        <v>54</v>
      </c>
      <c r="F3" s="50" t="s">
        <v>109</v>
      </c>
      <c r="G3" s="50" t="s">
        <v>55</v>
      </c>
    </row>
    <row r="5" spans="1:31" s="92" customFormat="1" ht="12.75">
      <c r="A5" s="92" t="s">
        <v>291</v>
      </c>
      <c r="B5" s="92" t="s">
        <v>405</v>
      </c>
      <c r="C5" s="92" t="s">
        <v>179</v>
      </c>
      <c r="D5" s="92" t="s">
        <v>406</v>
      </c>
      <c r="E5" s="93">
        <v>2168</v>
      </c>
      <c r="F5" s="93">
        <v>2197</v>
      </c>
      <c r="G5" s="93">
        <v>2156</v>
      </c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</row>
    <row r="6" spans="1:22" s="92" customFormat="1" ht="12.75">
      <c r="A6" s="92" t="s">
        <v>291</v>
      </c>
      <c r="B6" s="92" t="s">
        <v>407</v>
      </c>
      <c r="C6" s="92" t="s">
        <v>413</v>
      </c>
      <c r="D6" s="92" t="s">
        <v>406</v>
      </c>
      <c r="E6" s="93">
        <v>176</v>
      </c>
      <c r="F6" s="93">
        <v>175</v>
      </c>
      <c r="G6" s="93">
        <v>178</v>
      </c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</row>
    <row r="7" spans="1:22" s="92" customFormat="1" ht="12.75">
      <c r="A7" s="92" t="s">
        <v>291</v>
      </c>
      <c r="B7" s="92" t="s">
        <v>405</v>
      </c>
      <c r="C7" s="92" t="s">
        <v>415</v>
      </c>
      <c r="D7" s="92" t="s">
        <v>406</v>
      </c>
      <c r="E7" s="93">
        <v>420</v>
      </c>
      <c r="F7" s="93">
        <v>400</v>
      </c>
      <c r="G7" s="93">
        <v>413</v>
      </c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</row>
    <row r="8" spans="1:22" s="92" customFormat="1" ht="12.75">
      <c r="A8" s="92" t="s">
        <v>291</v>
      </c>
      <c r="B8" s="92" t="s">
        <v>408</v>
      </c>
      <c r="C8" s="92" t="s">
        <v>414</v>
      </c>
      <c r="D8" s="92" t="s">
        <v>406</v>
      </c>
      <c r="E8" s="93">
        <v>720</v>
      </c>
      <c r="F8" s="93">
        <v>683</v>
      </c>
      <c r="G8" s="93">
        <v>689</v>
      </c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</row>
    <row r="9" spans="1:23" s="92" customFormat="1" ht="12.75">
      <c r="A9" s="92" t="s">
        <v>291</v>
      </c>
      <c r="B9" s="92" t="s">
        <v>407</v>
      </c>
      <c r="C9" s="92" t="s">
        <v>416</v>
      </c>
      <c r="D9" s="92" t="s">
        <v>409</v>
      </c>
      <c r="E9" s="93">
        <v>28.8</v>
      </c>
      <c r="F9" s="93">
        <v>28.2</v>
      </c>
      <c r="G9" s="93">
        <v>28.7</v>
      </c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</row>
    <row r="10" spans="1:22" s="92" customFormat="1" ht="12.75">
      <c r="A10" s="92" t="s">
        <v>291</v>
      </c>
      <c r="B10" s="92" t="s">
        <v>407</v>
      </c>
      <c r="C10" s="92" t="s">
        <v>410</v>
      </c>
      <c r="E10" s="93">
        <v>9.1</v>
      </c>
      <c r="F10" s="93">
        <v>8.7</v>
      </c>
      <c r="G10" s="93">
        <v>8.5</v>
      </c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</row>
    <row r="11" spans="5:22" s="92" customFormat="1" ht="12.75"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</row>
    <row r="12" spans="3:22" s="92" customFormat="1" ht="12.75">
      <c r="C12" s="16" t="s">
        <v>294</v>
      </c>
      <c r="E12" s="50" t="s">
        <v>54</v>
      </c>
      <c r="F12" s="50" t="s">
        <v>109</v>
      </c>
      <c r="G12" s="50" t="s">
        <v>55</v>
      </c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</row>
    <row r="13" spans="5:22" s="92" customFormat="1" ht="12.75"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</row>
    <row r="14" spans="1:31" s="92" customFormat="1" ht="12.75">
      <c r="A14" s="92" t="s">
        <v>294</v>
      </c>
      <c r="B14" s="92" t="s">
        <v>405</v>
      </c>
      <c r="C14" s="92" t="s">
        <v>179</v>
      </c>
      <c r="D14" s="92" t="s">
        <v>406</v>
      </c>
      <c r="E14" s="93">
        <v>1810</v>
      </c>
      <c r="F14" s="93">
        <v>1800</v>
      </c>
      <c r="G14" s="93">
        <v>1796</v>
      </c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</row>
    <row r="15" spans="1:22" s="92" customFormat="1" ht="12.75">
      <c r="A15" s="92" t="s">
        <v>294</v>
      </c>
      <c r="B15" s="92" t="s">
        <v>407</v>
      </c>
      <c r="C15" s="92" t="s">
        <v>413</v>
      </c>
      <c r="D15" s="92" t="s">
        <v>406</v>
      </c>
      <c r="E15" s="93">
        <v>179</v>
      </c>
      <c r="F15" s="93">
        <v>180</v>
      </c>
      <c r="G15" s="93">
        <v>176</v>
      </c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</row>
    <row r="16" spans="1:22" s="92" customFormat="1" ht="12.75">
      <c r="A16" s="92" t="s">
        <v>294</v>
      </c>
      <c r="B16" s="92" t="s">
        <v>405</v>
      </c>
      <c r="C16" s="92" t="s">
        <v>415</v>
      </c>
      <c r="D16" s="92" t="s">
        <v>406</v>
      </c>
      <c r="E16" s="93">
        <v>380</v>
      </c>
      <c r="F16" s="93">
        <v>380</v>
      </c>
      <c r="G16" s="93">
        <v>394</v>
      </c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</row>
    <row r="17" spans="1:22" s="92" customFormat="1" ht="12.75">
      <c r="A17" s="92" t="s">
        <v>294</v>
      </c>
      <c r="B17" s="92" t="s">
        <v>408</v>
      </c>
      <c r="C17" s="92" t="s">
        <v>414</v>
      </c>
      <c r="D17" s="92" t="s">
        <v>406</v>
      </c>
      <c r="E17" s="93">
        <v>625</v>
      </c>
      <c r="F17" s="93">
        <v>620</v>
      </c>
      <c r="G17" s="93">
        <v>605</v>
      </c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</row>
    <row r="18" spans="1:23" s="92" customFormat="1" ht="12.75">
      <c r="A18" s="92" t="s">
        <v>294</v>
      </c>
      <c r="B18" s="92" t="s">
        <v>407</v>
      </c>
      <c r="C18" s="92" t="s">
        <v>416</v>
      </c>
      <c r="D18" s="92" t="s">
        <v>409</v>
      </c>
      <c r="E18" s="93">
        <v>27.6</v>
      </c>
      <c r="F18" s="93">
        <v>28.6</v>
      </c>
      <c r="G18" s="93">
        <v>30.2</v>
      </c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</row>
    <row r="19" spans="1:22" s="92" customFormat="1" ht="12.75">
      <c r="A19" s="92" t="s">
        <v>294</v>
      </c>
      <c r="B19" s="92" t="s">
        <v>407</v>
      </c>
      <c r="C19" s="92" t="s">
        <v>410</v>
      </c>
      <c r="E19" s="93">
        <v>8.9</v>
      </c>
      <c r="F19" s="93">
        <v>8.6</v>
      </c>
      <c r="G19" s="93">
        <v>8.7</v>
      </c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</row>
    <row r="20" spans="5:22" s="92" customFormat="1" ht="12.75"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</row>
    <row r="21" spans="3:22" s="92" customFormat="1" ht="12.75">
      <c r="C21" s="16" t="s">
        <v>297</v>
      </c>
      <c r="E21" s="50" t="s">
        <v>54</v>
      </c>
      <c r="F21" s="50" t="s">
        <v>109</v>
      </c>
      <c r="G21" s="50" t="s">
        <v>55</v>
      </c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</row>
    <row r="22" spans="5:22" s="92" customFormat="1" ht="12.75"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</row>
    <row r="23" spans="1:31" s="92" customFormat="1" ht="12.75">
      <c r="A23" s="92" t="s">
        <v>297</v>
      </c>
      <c r="B23" s="92" t="s">
        <v>405</v>
      </c>
      <c r="C23" s="92" t="s">
        <v>179</v>
      </c>
      <c r="D23" s="92" t="s">
        <v>406</v>
      </c>
      <c r="E23" s="93">
        <v>1835</v>
      </c>
      <c r="F23" s="93">
        <v>1828</v>
      </c>
      <c r="G23" s="93">
        <v>1847</v>
      </c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</row>
    <row r="24" spans="1:22" s="92" customFormat="1" ht="12.75">
      <c r="A24" s="92" t="s">
        <v>297</v>
      </c>
      <c r="B24" s="92" t="s">
        <v>407</v>
      </c>
      <c r="C24" s="92" t="s">
        <v>413</v>
      </c>
      <c r="D24" s="92" t="s">
        <v>406</v>
      </c>
      <c r="E24" s="93">
        <v>168</v>
      </c>
      <c r="F24" s="93">
        <v>173</v>
      </c>
      <c r="G24" s="93">
        <v>171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</row>
    <row r="25" spans="1:22" s="92" customFormat="1" ht="12.75">
      <c r="A25" s="92" t="s">
        <v>297</v>
      </c>
      <c r="B25" s="92" t="s">
        <v>405</v>
      </c>
      <c r="C25" s="92" t="s">
        <v>415</v>
      </c>
      <c r="D25" s="92" t="s">
        <v>406</v>
      </c>
      <c r="E25" s="93">
        <v>379</v>
      </c>
      <c r="F25" s="93">
        <v>380</v>
      </c>
      <c r="G25" s="93">
        <v>380</v>
      </c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</row>
    <row r="26" spans="1:22" s="92" customFormat="1" ht="12.75">
      <c r="A26" s="92" t="s">
        <v>297</v>
      </c>
      <c r="B26" s="92" t="s">
        <v>408</v>
      </c>
      <c r="C26" s="92" t="s">
        <v>414</v>
      </c>
      <c r="D26" s="92" t="s">
        <v>406</v>
      </c>
      <c r="E26" s="93">
        <v>607</v>
      </c>
      <c r="F26" s="93">
        <v>634</v>
      </c>
      <c r="G26" s="93">
        <v>620</v>
      </c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</row>
    <row r="27" spans="1:23" s="92" customFormat="1" ht="12.75">
      <c r="A27" s="92" t="s">
        <v>297</v>
      </c>
      <c r="B27" s="92" t="s">
        <v>407</v>
      </c>
      <c r="C27" s="92" t="s">
        <v>416</v>
      </c>
      <c r="D27" s="92" t="s">
        <v>409</v>
      </c>
      <c r="E27" s="93">
        <v>28.1</v>
      </c>
      <c r="F27" s="93">
        <v>28.2</v>
      </c>
      <c r="G27" s="93">
        <v>28.5</v>
      </c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</row>
    <row r="28" spans="1:22" s="92" customFormat="1" ht="12.75">
      <c r="A28" s="92" t="s">
        <v>297</v>
      </c>
      <c r="B28" s="92" t="s">
        <v>407</v>
      </c>
      <c r="C28" s="92" t="s">
        <v>410</v>
      </c>
      <c r="E28" s="93">
        <v>8.3</v>
      </c>
      <c r="F28" s="93">
        <v>8</v>
      </c>
      <c r="G28" s="93">
        <v>9.4</v>
      </c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</row>
    <row r="29" spans="5:22" s="92" customFormat="1" ht="12.75"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</row>
    <row r="30" spans="3:22" s="92" customFormat="1" ht="12.75">
      <c r="C30" s="16" t="s">
        <v>300</v>
      </c>
      <c r="E30" s="50" t="s">
        <v>54</v>
      </c>
      <c r="F30" s="50" t="s">
        <v>109</v>
      </c>
      <c r="G30" s="50" t="s">
        <v>55</v>
      </c>
      <c r="H30" s="96" t="s">
        <v>164</v>
      </c>
      <c r="I30" s="96" t="s">
        <v>165</v>
      </c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</row>
    <row r="31" spans="5:22" s="92" customFormat="1" ht="12.75"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</row>
    <row r="32" spans="1:31" s="92" customFormat="1" ht="12.75">
      <c r="A32" s="92" t="s">
        <v>300</v>
      </c>
      <c r="B32" s="92" t="s">
        <v>411</v>
      </c>
      <c r="C32" s="92" t="s">
        <v>417</v>
      </c>
      <c r="D32" s="92" t="s">
        <v>406</v>
      </c>
      <c r="E32" s="93">
        <v>2245</v>
      </c>
      <c r="F32" s="93">
        <v>2218</v>
      </c>
      <c r="G32" s="93">
        <v>2182</v>
      </c>
      <c r="H32" s="93">
        <v>2186</v>
      </c>
      <c r="I32" s="93">
        <v>2153</v>
      </c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</row>
    <row r="33" spans="1:22" s="92" customFormat="1" ht="12.75">
      <c r="A33" s="92" t="s">
        <v>300</v>
      </c>
      <c r="B33" s="92" t="s">
        <v>405</v>
      </c>
      <c r="C33" s="92" t="s">
        <v>415</v>
      </c>
      <c r="D33" s="92" t="s">
        <v>406</v>
      </c>
      <c r="E33" s="93">
        <v>379</v>
      </c>
      <c r="F33" s="93">
        <v>389</v>
      </c>
      <c r="G33" s="93">
        <v>380</v>
      </c>
      <c r="H33" s="93">
        <v>381</v>
      </c>
      <c r="I33" s="93">
        <v>380</v>
      </c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</row>
    <row r="34" spans="5:22" s="92" customFormat="1" ht="12.75"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</row>
    <row r="35" spans="3:22" s="92" customFormat="1" ht="12.75">
      <c r="C35" s="16" t="s">
        <v>303</v>
      </c>
      <c r="E35" s="50" t="s">
        <v>54</v>
      </c>
      <c r="F35" s="50" t="s">
        <v>109</v>
      </c>
      <c r="G35" s="50" t="s">
        <v>55</v>
      </c>
      <c r="H35" s="96" t="s">
        <v>164</v>
      </c>
      <c r="I35" s="96" t="s">
        <v>165</v>
      </c>
      <c r="J35" s="96" t="s">
        <v>266</v>
      </c>
      <c r="K35" s="96" t="s">
        <v>483</v>
      </c>
      <c r="L35" s="96" t="s">
        <v>484</v>
      </c>
      <c r="M35" s="93"/>
      <c r="N35" s="93"/>
      <c r="O35" s="93"/>
      <c r="P35" s="93"/>
      <c r="Q35" s="93"/>
      <c r="R35" s="93"/>
      <c r="S35" s="93"/>
      <c r="T35" s="93"/>
      <c r="U35" s="93"/>
      <c r="V35" s="93"/>
    </row>
    <row r="36" spans="5:22" s="92" customFormat="1" ht="12.75"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</row>
    <row r="37" spans="1:22" s="92" customFormat="1" ht="12.75">
      <c r="A37" s="92" t="s">
        <v>303</v>
      </c>
      <c r="B37" s="92" t="s">
        <v>405</v>
      </c>
      <c r="C37" s="92" t="s">
        <v>415</v>
      </c>
      <c r="D37" s="92" t="s">
        <v>406</v>
      </c>
      <c r="E37" s="93">
        <v>383</v>
      </c>
      <c r="F37" s="93">
        <v>383</v>
      </c>
      <c r="G37" s="93">
        <v>383</v>
      </c>
      <c r="H37" s="93">
        <v>383</v>
      </c>
      <c r="I37" s="93">
        <v>383</v>
      </c>
      <c r="J37" s="93">
        <v>383</v>
      </c>
      <c r="K37" s="93">
        <v>383</v>
      </c>
      <c r="L37" s="93">
        <v>383</v>
      </c>
      <c r="M37" s="93"/>
      <c r="N37" s="93"/>
      <c r="O37" s="93"/>
      <c r="P37" s="93"/>
      <c r="Q37" s="93"/>
      <c r="R37" s="93"/>
      <c r="S37" s="93"/>
      <c r="T37" s="93"/>
      <c r="U37" s="93"/>
      <c r="V37" s="93"/>
    </row>
    <row r="38" spans="5:22" s="92" customFormat="1" ht="12.75"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</row>
    <row r="39" spans="3:22" s="92" customFormat="1" ht="12.75">
      <c r="C39" s="16" t="s">
        <v>306</v>
      </c>
      <c r="E39" s="50" t="s">
        <v>54</v>
      </c>
      <c r="F39" s="50" t="s">
        <v>109</v>
      </c>
      <c r="G39" s="50" t="s">
        <v>55</v>
      </c>
      <c r="H39" s="96" t="s">
        <v>164</v>
      </c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</row>
    <row r="40" spans="5:22" s="92" customFormat="1" ht="12.75"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</row>
    <row r="41" spans="1:31" s="92" customFormat="1" ht="12.75">
      <c r="A41" s="92" t="s">
        <v>306</v>
      </c>
      <c r="B41" s="92" t="s">
        <v>411</v>
      </c>
      <c r="C41" s="92" t="s">
        <v>417</v>
      </c>
      <c r="D41" s="92" t="s">
        <v>406</v>
      </c>
      <c r="E41" s="93">
        <v>1740</v>
      </c>
      <c r="F41" s="93">
        <v>1835</v>
      </c>
      <c r="G41" s="93">
        <v>1843</v>
      </c>
      <c r="H41" s="93">
        <v>1824</v>
      </c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</row>
    <row r="42" spans="1:31" s="92" customFormat="1" ht="12.75">
      <c r="A42" s="92" t="s">
        <v>306</v>
      </c>
      <c r="B42" s="92" t="s">
        <v>405</v>
      </c>
      <c r="C42" s="92" t="s">
        <v>179</v>
      </c>
      <c r="D42" s="92" t="s">
        <v>406</v>
      </c>
      <c r="E42" s="93">
        <v>1596</v>
      </c>
      <c r="F42" s="93">
        <v>1626</v>
      </c>
      <c r="G42" s="93">
        <v>1666</v>
      </c>
      <c r="H42" s="93">
        <v>1726</v>
      </c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</row>
    <row r="43" spans="1:22" s="92" customFormat="1" ht="12.75">
      <c r="A43" s="92" t="s">
        <v>306</v>
      </c>
      <c r="B43" s="92" t="s">
        <v>407</v>
      </c>
      <c r="C43" s="92" t="s">
        <v>413</v>
      </c>
      <c r="D43" s="92" t="s">
        <v>406</v>
      </c>
      <c r="E43" s="93">
        <v>171</v>
      </c>
      <c r="F43" s="93">
        <v>177</v>
      </c>
      <c r="G43" s="93">
        <v>174</v>
      </c>
      <c r="H43" s="93">
        <v>178</v>
      </c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</row>
    <row r="44" spans="1:22" s="92" customFormat="1" ht="12.75">
      <c r="A44" s="92" t="s">
        <v>306</v>
      </c>
      <c r="B44" s="92" t="s">
        <v>405</v>
      </c>
      <c r="C44" s="92" t="s">
        <v>415</v>
      </c>
      <c r="D44" s="92" t="s">
        <v>406</v>
      </c>
      <c r="E44" s="93">
        <v>356</v>
      </c>
      <c r="F44" s="93">
        <v>346</v>
      </c>
      <c r="G44" s="93">
        <v>364</v>
      </c>
      <c r="H44" s="93">
        <v>370</v>
      </c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</row>
    <row r="45" spans="1:22" s="92" customFormat="1" ht="12.75">
      <c r="A45" s="92" t="s">
        <v>306</v>
      </c>
      <c r="B45" s="92" t="s">
        <v>408</v>
      </c>
      <c r="C45" s="92" t="s">
        <v>414</v>
      </c>
      <c r="D45" s="92" t="s">
        <v>406</v>
      </c>
      <c r="E45" s="93">
        <v>677</v>
      </c>
      <c r="F45" s="93">
        <v>672</v>
      </c>
      <c r="G45" s="93">
        <v>673</v>
      </c>
      <c r="H45" s="93">
        <v>648</v>
      </c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</row>
    <row r="46" spans="1:23" s="92" customFormat="1" ht="12.75">
      <c r="A46" s="92" t="s">
        <v>306</v>
      </c>
      <c r="B46" s="92" t="s">
        <v>407</v>
      </c>
      <c r="C46" s="92" t="s">
        <v>416</v>
      </c>
      <c r="D46" s="92" t="s">
        <v>409</v>
      </c>
      <c r="E46" s="93">
        <v>27</v>
      </c>
      <c r="F46" s="93">
        <v>28</v>
      </c>
      <c r="G46" s="93">
        <v>28</v>
      </c>
      <c r="H46" s="93">
        <v>28</v>
      </c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</row>
    <row r="47" spans="1:23" s="92" customFormat="1" ht="12.75">
      <c r="A47" s="92" t="s">
        <v>306</v>
      </c>
      <c r="B47" s="92" t="s">
        <v>405</v>
      </c>
      <c r="C47" s="92" t="s">
        <v>418</v>
      </c>
      <c r="D47" s="92" t="s">
        <v>412</v>
      </c>
      <c r="E47" s="93">
        <v>59</v>
      </c>
      <c r="F47" s="93">
        <v>62.7</v>
      </c>
      <c r="G47" s="93">
        <v>55.4</v>
      </c>
      <c r="H47" s="93">
        <v>61.9</v>
      </c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</row>
    <row r="48" spans="1:22" s="92" customFormat="1" ht="12.75">
      <c r="A48" s="92" t="s">
        <v>306</v>
      </c>
      <c r="B48" s="92" t="s">
        <v>407</v>
      </c>
      <c r="C48" s="92" t="s">
        <v>410</v>
      </c>
      <c r="E48" s="93">
        <v>8</v>
      </c>
      <c r="F48" s="93">
        <v>8</v>
      </c>
      <c r="G48" s="93">
        <v>8</v>
      </c>
      <c r="H48" s="93">
        <v>8</v>
      </c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</row>
    <row r="49" spans="5:22" s="92" customFormat="1" ht="12.75"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</row>
    <row r="50" spans="3:22" s="92" customFormat="1" ht="12.75">
      <c r="C50" s="16" t="s">
        <v>309</v>
      </c>
      <c r="E50" s="50" t="s">
        <v>54</v>
      </c>
      <c r="F50" s="50" t="s">
        <v>109</v>
      </c>
      <c r="G50" s="50" t="s">
        <v>55</v>
      </c>
      <c r="H50" s="96" t="s">
        <v>164</v>
      </c>
      <c r="I50" s="96" t="s">
        <v>165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</row>
    <row r="51" spans="5:22" s="92" customFormat="1" ht="12.75"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</row>
    <row r="52" spans="1:22" s="92" customFormat="1" ht="12.75">
      <c r="A52" s="92" t="s">
        <v>309</v>
      </c>
      <c r="B52" s="92" t="s">
        <v>405</v>
      </c>
      <c r="C52" s="92" t="s">
        <v>415</v>
      </c>
      <c r="D52" s="92" t="s">
        <v>406</v>
      </c>
      <c r="E52" s="93">
        <v>383</v>
      </c>
      <c r="F52" s="93">
        <v>383</v>
      </c>
      <c r="G52" s="93">
        <v>383</v>
      </c>
      <c r="H52" s="93">
        <v>383</v>
      </c>
      <c r="I52" s="93">
        <v>383</v>
      </c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2004-02-24T22:49:19Z</cp:lastPrinted>
  <dcterms:created xsi:type="dcterms:W3CDTF">2000-01-10T00:44:42Z</dcterms:created>
  <dcterms:modified xsi:type="dcterms:W3CDTF">2004-02-24T22:52:01Z</dcterms:modified>
  <cp:category/>
  <cp:version/>
  <cp:contentType/>
  <cp:contentStatus/>
</cp:coreProperties>
</file>