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33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1" sheetId="10" r:id="rId10"/>
    <sheet name="df c1" sheetId="11" r:id="rId11"/>
    <sheet name="df c5" sheetId="12" r:id="rId12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<sst xmlns="http://schemas.openxmlformats.org/spreadsheetml/2006/main" count="2548" uniqueCount="310">
  <si>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</si>
  <si>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</si>
  <si>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</si>
  <si>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</si>
  <si>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</si>
  <si>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</si>
  <si>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</si>
  <si>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</si>
  <si>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</si>
  <si>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</si>
  <si>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</si>
  <si>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</si>
  <si>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</si>
  <si>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</si>
  <si>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</si>
  <si>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</si>
  <si>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</si>
  <si>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</si>
  <si>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</si>
  <si>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</si>
  <si>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</si>
  <si>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</si>
  <si>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</si>
  <si>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</si>
  <si>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</si>
  <si>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</si>
  <si>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</si>
  <si>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</si>
  <si>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</si>
  <si>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</si>
  <si>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</si>
  <si>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</si>
  <si>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</si>
  <si>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</si>
  <si>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</si>
  <si>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</si>
  <si>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</si>
  <si>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</si>
  <si>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</si>
  <si>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</si>
  <si>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</si>
  <si>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</si>
  <si>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</si>
  <si>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</si>
  <si>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</si>
  <si>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</si>
  <si>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</si>
  <si>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Feedstream Description</t>
  </si>
  <si>
    <t>Chlorine</t>
  </si>
  <si>
    <t>HCl</t>
  </si>
  <si>
    <t>Cl2</t>
  </si>
  <si>
    <t>DRE</t>
  </si>
  <si>
    <t>MMBtu/hr</t>
  </si>
  <si>
    <t>Spike</t>
  </si>
  <si>
    <t>ug/dscm</t>
  </si>
  <si>
    <t>SVM</t>
  </si>
  <si>
    <t>LVM</t>
  </si>
  <si>
    <t>O2 (%)</t>
  </si>
  <si>
    <t>TEQ Cond Avg</t>
  </si>
  <si>
    <t>Stack Gas Flowrate</t>
  </si>
  <si>
    <t>Oxygen</t>
  </si>
  <si>
    <t>HW</t>
  </si>
  <si>
    <t>ng/dscm</t>
  </si>
  <si>
    <t>Other</t>
  </si>
  <si>
    <t>Combustor Characteristics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</si>
  <si>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</si>
  <si>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</si>
  <si>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</si>
  <si>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</si>
  <si>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</si>
  <si>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</si>
  <si>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</si>
  <si>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</si>
  <si>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</si>
  <si>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</si>
  <si>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</si>
  <si>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</si>
  <si>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</si>
  <si>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</si>
  <si>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</si>
  <si>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</si>
  <si>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</si>
  <si>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</si>
  <si>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</si>
  <si>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</si>
  <si>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</si>
  <si>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</si>
  <si>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</si>
  <si>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</si>
  <si>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</si>
  <si>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Trial Burn</t>
  </si>
  <si>
    <t>PM, HCl/Cl2</t>
  </si>
  <si>
    <t>POHC Feedrate</t>
  </si>
  <si>
    <t xml:space="preserve">   O2</t>
  </si>
  <si>
    <t xml:space="preserve">   Moisture</t>
  </si>
  <si>
    <t>Total Chlorine</t>
  </si>
  <si>
    <t>Sampling Train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</si>
  <si>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</si>
  <si>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</si>
  <si>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</si>
  <si>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</si>
  <si>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</si>
  <si>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</si>
  <si>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</si>
  <si>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</si>
  <si>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</si>
  <si>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</si>
  <si>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</si>
  <si>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Emissions Rate</t>
  </si>
  <si>
    <t>Metals</t>
  </si>
  <si>
    <t>CO (MHRA)</t>
  </si>
  <si>
    <t xml:space="preserve">CO (RA) </t>
  </si>
  <si>
    <t>HC (RA)</t>
  </si>
  <si>
    <t>Chromium</t>
  </si>
  <si>
    <t>MSD077655876</t>
  </si>
  <si>
    <t>Artesia</t>
  </si>
  <si>
    <t>Schreiber, Yonley &amp; Associates</t>
  </si>
  <si>
    <t>ESP</t>
  </si>
  <si>
    <t>Coal</t>
  </si>
  <si>
    <t>May 1-6, 2000</t>
  </si>
  <si>
    <t>Trial Burn and Recertification of Compliance Test Report, Sept 2000</t>
  </si>
  <si>
    <t>MS</t>
  </si>
  <si>
    <t>1584 tons/day clinker</t>
  </si>
  <si>
    <t>Long, Wet</t>
  </si>
  <si>
    <t>CoC: Max comb temp, max metal and chlorine feed rate, max prod rate, min ESP power</t>
  </si>
  <si>
    <t>CoC: Min comb temp. max feed rate, max ESP temp</t>
  </si>
  <si>
    <t>PCDD/F, DRE</t>
  </si>
  <si>
    <t>TRC Environmental Corporation</t>
  </si>
  <si>
    <t>g/s</t>
  </si>
  <si>
    <t>HC (MHRA)</t>
  </si>
  <si>
    <t>g/hr</t>
  </si>
  <si>
    <t>Tier I for Hg, Ba, Sb, Ag, and Tl;  Tier III for As, Be, Cd, Cr, Pb</t>
  </si>
  <si>
    <t>Holnam, Artesia, MS</t>
  </si>
  <si>
    <t>203C11</t>
  </si>
  <si>
    <t>203C10</t>
  </si>
  <si>
    <t>Trichlorobenzene</t>
  </si>
  <si>
    <t>Perchloroethylene PERC</t>
  </si>
  <si>
    <t>SF6 Sulfur Hexafluoride</t>
  </si>
  <si>
    <t>&gt;</t>
  </si>
  <si>
    <t>CoC</t>
  </si>
  <si>
    <t>Avg</t>
  </si>
  <si>
    <t>Raw Matl</t>
  </si>
  <si>
    <t>Haz Waste</t>
  </si>
  <si>
    <t>TDF</t>
  </si>
  <si>
    <t>Detected in sample volume (ng)</t>
  </si>
  <si>
    <t>Run 4</t>
  </si>
  <si>
    <t>Run 5</t>
  </si>
  <si>
    <t>Run 6</t>
  </si>
  <si>
    <t>PCDD/PCDF (ng in sample)</t>
  </si>
  <si>
    <t>ng TEQ/dscm</t>
  </si>
  <si>
    <t>NOx</t>
  </si>
  <si>
    <t>SO2</t>
  </si>
  <si>
    <t>n</t>
  </si>
  <si>
    <t>Method 23 PCDD/PCDF</t>
  </si>
  <si>
    <t>Method 0010 Semi-volatile organics</t>
  </si>
  <si>
    <t>Phase I ID No.</t>
  </si>
  <si>
    <t>ESP Power</t>
  </si>
  <si>
    <t>kW</t>
  </si>
  <si>
    <t>F</t>
  </si>
  <si>
    <t>No. 1</t>
  </si>
  <si>
    <t>PM, HCl, metals (Cl2 not measured by accident)</t>
  </si>
  <si>
    <t>Cond Avg</t>
  </si>
  <si>
    <t>203C1</t>
  </si>
  <si>
    <t>Report Name/Date</t>
  </si>
  <si>
    <t>Report Prepare</t>
  </si>
  <si>
    <t>Testing Firm</t>
  </si>
  <si>
    <t>Cond Descr</t>
  </si>
  <si>
    <t>July 14-15, 1993</t>
  </si>
  <si>
    <t>203C2</t>
  </si>
  <si>
    <t>Annual Stack Test Report, Holnam Artesia, Mississippi; Stack Sampling Report, Holnam Inc., Artesia Mississippi, July 1994</t>
  </si>
  <si>
    <t>Team Environmental Services, Cemtech LP</t>
  </si>
  <si>
    <t>State of MS testing, ANNUAL STACK SAMPLING WITH SF6 SPIKE</t>
  </si>
  <si>
    <t>203C3</t>
  </si>
  <si>
    <t>BIF Certification of Compliance Report, Holnam, Artesia MS, August 19, 1993</t>
  </si>
  <si>
    <t>Cemtech</t>
  </si>
  <si>
    <t>CoC, DRE TESTING FOR PERC AND TCB</t>
  </si>
  <si>
    <t>June 12-13, 1993</t>
  </si>
  <si>
    <t>203C4</t>
  </si>
  <si>
    <t>Annual Stack Test Report, Holnam Artesia, Mississippi; Stack Sampling Report, Holnam Inc., Artesia Mississippi</t>
  </si>
  <si>
    <t>State of Mississippi required annual testing, DRE TEST USING SF6</t>
  </si>
  <si>
    <t>203C5</t>
  </si>
  <si>
    <t>Recertification of Compliance Test Report, Holnam Artesia MS, August 16, 1996</t>
  </si>
  <si>
    <t>Safety Kleen Corp and TRC Environmental</t>
  </si>
  <si>
    <t>TRC</t>
  </si>
  <si>
    <t>CoC, MAX COMB ZONE TEMP, MAX METALS/CHLORINE FEED RATES</t>
  </si>
  <si>
    <t>203C6</t>
  </si>
  <si>
    <t>CoC, DRE DEMONSTRATION, min comb temp?</t>
  </si>
  <si>
    <t>June 5-6, 1996</t>
  </si>
  <si>
    <t>R1</t>
  </si>
  <si>
    <t>R2</t>
  </si>
  <si>
    <t>R3</t>
  </si>
  <si>
    <t/>
  </si>
  <si>
    <t>CO (RA)</t>
  </si>
  <si>
    <t>Dioxin &amp; Furan</t>
  </si>
  <si>
    <t>Particulate</t>
  </si>
  <si>
    <t>no Cl2?</t>
  </si>
  <si>
    <t>SVOC</t>
  </si>
  <si>
    <t>Chromium (Hex)</t>
  </si>
  <si>
    <t>Spiked waste</t>
  </si>
  <si>
    <t>Raw Material</t>
  </si>
  <si>
    <t>Metal spike</t>
  </si>
  <si>
    <t>Feedrate</t>
  </si>
  <si>
    <t>lb/hr</t>
  </si>
  <si>
    <t>Heating value</t>
  </si>
  <si>
    <t>Btu/lb</t>
  </si>
  <si>
    <t>Full ND</t>
  </si>
  <si>
    <t>4D 2378</t>
  </si>
  <si>
    <t>5D 12378</t>
  </si>
  <si>
    <t>6D 123478</t>
  </si>
  <si>
    <t>6D 123678</t>
  </si>
  <si>
    <t>6D 123789</t>
  </si>
  <si>
    <t>7D 1234678</t>
  </si>
  <si>
    <t>8D</t>
  </si>
  <si>
    <t>4F 2378</t>
  </si>
  <si>
    <t>5F 12378</t>
  </si>
  <si>
    <t>5F 23478</t>
  </si>
  <si>
    <t>6F 123478</t>
  </si>
  <si>
    <t>6F 123678</t>
  </si>
  <si>
    <t>6F 123789</t>
  </si>
  <si>
    <t>6F 234678</t>
  </si>
  <si>
    <t>7F 1234678</t>
  </si>
  <si>
    <t>7F 1234789</t>
  </si>
  <si>
    <t>8F</t>
  </si>
  <si>
    <t>Total PCDD/PCDF</t>
  </si>
  <si>
    <t>4D Other</t>
  </si>
  <si>
    <t>4D Total</t>
  </si>
  <si>
    <t>5D Other</t>
  </si>
  <si>
    <t>5D Total</t>
  </si>
  <si>
    <t>6D Other</t>
  </si>
  <si>
    <t>6D Total</t>
  </si>
  <si>
    <t>7D Other</t>
  </si>
  <si>
    <t>7D Total</t>
  </si>
  <si>
    <t>4F Other</t>
  </si>
  <si>
    <t>4F Total</t>
  </si>
  <si>
    <t>5F Other</t>
  </si>
  <si>
    <t>5F Total</t>
  </si>
  <si>
    <t>6F Other</t>
  </si>
  <si>
    <t>6F Total</t>
  </si>
  <si>
    <t>7F Other</t>
  </si>
  <si>
    <t>7F Total</t>
  </si>
  <si>
    <t>Testing Dates</t>
  </si>
  <si>
    <t>Condition Descr</t>
  </si>
  <si>
    <t>Content</t>
  </si>
  <si>
    <t>Cond Description</t>
  </si>
  <si>
    <t>Tetrachloroethene</t>
  </si>
  <si>
    <t>Sulfur Hexafluoride</t>
  </si>
  <si>
    <t>1,2,4-Trichlorobenzene</t>
  </si>
  <si>
    <t>BIF Certification of Compliance Report, Holnam Artesia, Mississippi, prepared by SciTech, August 19, 1993</t>
  </si>
  <si>
    <t>CoC, MAX HW FEED</t>
  </si>
  <si>
    <t>SciTech</t>
  </si>
  <si>
    <t>Combustor Class</t>
  </si>
  <si>
    <t>Combustor Type</t>
  </si>
  <si>
    <t>**ESP went offline during test run no 3, results not reported in CoC</t>
  </si>
  <si>
    <t>Stack Gas Emissions 1</t>
  </si>
  <si>
    <t>Stack Gas Emissions 2</t>
  </si>
  <si>
    <t>Feedstreams 1</t>
  </si>
  <si>
    <t>Feedstreams 2</t>
  </si>
  <si>
    <t>20310</t>
  </si>
  <si>
    <t>Combustion Temperature</t>
  </si>
  <si>
    <t>kVA</t>
  </si>
  <si>
    <t>ESP Temperature</t>
  </si>
  <si>
    <t>not measured by accident; used previous testing results to demonstrate compliance</t>
  </si>
  <si>
    <t>Process Information 2</t>
  </si>
  <si>
    <t>Process Information 1</t>
  </si>
  <si>
    <t>CoC, minimum combustion chamber temperature</t>
  </si>
  <si>
    <t>Feedstream Number</t>
  </si>
  <si>
    <t>Feed Class</t>
  </si>
  <si>
    <t>Heating Value</t>
  </si>
  <si>
    <t>Liq HW</t>
  </si>
  <si>
    <t>Liq non-HW</t>
  </si>
  <si>
    <t>E1</t>
  </si>
  <si>
    <t>E2</t>
  </si>
  <si>
    <t>E3</t>
  </si>
  <si>
    <t>Cr (Hex)</t>
  </si>
  <si>
    <t>E4</t>
  </si>
  <si>
    <t>Cond Dates</t>
  </si>
  <si>
    <t>Number of Sister Facilities</t>
  </si>
  <si>
    <t>APCS Detailed Acronym</t>
  </si>
  <si>
    <t>APCS General Class</t>
  </si>
  <si>
    <t xml:space="preserve">Liq 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</si>
  <si>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</si>
  <si>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</si>
  <si>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</si>
  <si>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</si>
  <si>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</si>
  <si>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</si>
  <si>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</si>
  <si>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</si>
  <si>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c11</t>
  </si>
  <si>
    <t>df c5</t>
  </si>
  <si>
    <t>df c1</t>
  </si>
  <si>
    <t>Cement Kiln (CK)</t>
  </si>
  <si>
    <t>F1</t>
  </si>
  <si>
    <t>F2</t>
  </si>
  <si>
    <t>F3</t>
  </si>
  <si>
    <t>F4</t>
  </si>
  <si>
    <t>F5</t>
  </si>
  <si>
    <t>F6</t>
  </si>
  <si>
    <t>Feed Class 2</t>
  </si>
  <si>
    <t>RM</t>
  </si>
  <si>
    <t>Non-HW</t>
  </si>
  <si>
    <t>Thermal Feedrate</t>
  </si>
  <si>
    <t>Minimum power limit to ESP of 119 kW, Western Precipitation ESP, 4 fields in 2 compartments, 220 SCA, 72360 ft2 plate area</t>
  </si>
  <si>
    <t>MaxCombustion Cham Temp</t>
  </si>
  <si>
    <t>Min ESP Power</t>
  </si>
  <si>
    <t>Min Combustion Cham Temp</t>
  </si>
  <si>
    <t>Max ESP Inlet Temp (RA)</t>
  </si>
  <si>
    <t>Max ESP Inlet Temp (MHRA)</t>
  </si>
  <si>
    <t>N</t>
  </si>
  <si>
    <t>Holcim (US) Inc. (previously Holnam)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</si>
</sst>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E+00"/>
    <numFmt numFmtId="179" formatCode="mm/dd/yy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67" fontId="0" fillId="0" borderId="0" xfId="0" applyNumberFormat="1" applyFont="1" applyFill="1" applyBorder="1" applyAlignment="1">
      <alignment/>
    </xf>
    <xf numFmtId="11" fontId="0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Continuous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t="s">
        <v>280</v>
      </c>
    </row>
    <row r="2" ht="12.75">
      <c r="A2" t="s">
        <v>281</v>
      </c>
    </row>
    <row r="3" ht="12.75">
      <c r="A3" t="s">
        <v>282</v>
      </c>
    </row>
    <row r="4" ht="12.75">
      <c r="A4" t="s">
        <v>283</v>
      </c>
    </row>
    <row r="5" ht="12.75">
      <c r="A5" t="s">
        <v>284</v>
      </c>
    </row>
    <row r="6" ht="12.75">
      <c r="A6" t="s">
        <v>285</v>
      </c>
    </row>
    <row r="7" ht="12.75">
      <c r="A7" t="s">
        <v>286</v>
      </c>
    </row>
    <row r="8" ht="12.75">
      <c r="A8" t="s">
        <v>287</v>
      </c>
    </row>
    <row r="9" ht="12.75">
      <c r="A9" t="s">
        <v>288</v>
      </c>
    </row>
    <row r="10" ht="12.75">
      <c r="A10" t="s">
        <v>290</v>
      </c>
    </row>
    <row r="11" ht="12.75">
      <c r="A11" t="s">
        <v>289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6" sqref="C6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4.00390625" style="0" customWidth="1"/>
    <col min="5" max="5" width="9.421875" style="9" customWidth="1"/>
    <col min="6" max="6" width="9.8515625" style="9" customWidth="1"/>
    <col min="7" max="7" width="10.7109375" style="9" customWidth="1"/>
    <col min="8" max="8" width="9.8515625" style="9" customWidth="1"/>
    <col min="9" max="9" width="3.421875" style="0" customWidth="1"/>
    <col min="11" max="11" width="9.28125" style="0" customWidth="1"/>
    <col min="13" max="13" width="9.28125" style="0" customWidth="1"/>
    <col min="14" max="14" width="3.7109375" style="0" customWidth="1"/>
    <col min="16" max="16" width="9.00390625" style="0" customWidth="1"/>
    <col min="18" max="18" width="9.00390625" style="0" customWidth="1"/>
  </cols>
  <sheetData>
    <row r="1" spans="1:18" ht="12.75">
      <c r="A1" s="53" t="s">
        <v>66</v>
      </c>
      <c r="B1" s="38"/>
      <c r="C1" s="38"/>
      <c r="D1" s="38"/>
      <c r="E1" s="41"/>
      <c r="F1" s="41"/>
      <c r="G1" s="41"/>
      <c r="H1" s="41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2.75">
      <c r="A2" s="38" t="s">
        <v>308</v>
      </c>
      <c r="B2" s="38"/>
      <c r="C2" s="38"/>
      <c r="D2" s="38"/>
      <c r="E2" s="41"/>
      <c r="F2" s="41"/>
      <c r="G2" s="41"/>
      <c r="H2" s="41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.75">
      <c r="A3" s="38" t="s">
        <v>19</v>
      </c>
      <c r="B3" s="38"/>
      <c r="C3" s="16" t="s">
        <v>132</v>
      </c>
      <c r="D3" s="16"/>
      <c r="E3" s="41"/>
      <c r="F3" s="41"/>
      <c r="G3" s="41"/>
      <c r="H3" s="41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2.75">
      <c r="A4" s="38" t="s">
        <v>20</v>
      </c>
      <c r="B4" s="38"/>
      <c r="C4" s="16" t="s">
        <v>133</v>
      </c>
      <c r="D4" s="16"/>
      <c r="E4" s="59"/>
      <c r="F4" s="18"/>
      <c r="G4" s="59"/>
      <c r="H4" s="1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38" t="s">
        <v>21</v>
      </c>
      <c r="B5" s="38"/>
      <c r="C5" s="20" t="s">
        <v>264</v>
      </c>
      <c r="D5" s="20"/>
      <c r="E5" s="45"/>
      <c r="F5" s="45"/>
      <c r="G5" s="45"/>
      <c r="H5" s="45"/>
      <c r="I5" s="20"/>
      <c r="J5" s="20"/>
      <c r="K5" s="46"/>
      <c r="L5" s="20"/>
      <c r="M5" s="46"/>
      <c r="N5" s="46"/>
      <c r="O5" s="46"/>
      <c r="P5" s="46"/>
      <c r="Q5" s="46"/>
      <c r="R5" s="46"/>
    </row>
    <row r="6" spans="1:18" ht="12.75">
      <c r="A6" s="38"/>
      <c r="B6" s="38"/>
      <c r="C6" s="40"/>
      <c r="D6" s="40"/>
      <c r="E6" s="18"/>
      <c r="F6" s="41"/>
      <c r="G6" s="18"/>
      <c r="H6" s="41"/>
      <c r="I6" s="46"/>
      <c r="J6" s="50"/>
      <c r="K6" s="46"/>
      <c r="L6" s="50"/>
      <c r="M6" s="46"/>
      <c r="N6" s="46"/>
      <c r="O6" s="50"/>
      <c r="P6" s="46"/>
      <c r="Q6" s="50"/>
      <c r="R6" s="46"/>
    </row>
    <row r="7" spans="1:18" ht="12.75">
      <c r="A7" s="38"/>
      <c r="B7" s="38"/>
      <c r="C7" s="40" t="s">
        <v>22</v>
      </c>
      <c r="D7" s="40"/>
      <c r="E7" s="60" t="s">
        <v>145</v>
      </c>
      <c r="F7" s="60"/>
      <c r="G7" s="60"/>
      <c r="H7" s="60"/>
      <c r="I7" s="19"/>
      <c r="J7" s="51" t="s">
        <v>146</v>
      </c>
      <c r="K7" s="51"/>
      <c r="L7" s="51"/>
      <c r="M7" s="51"/>
      <c r="N7" s="19"/>
      <c r="O7" s="51" t="s">
        <v>147</v>
      </c>
      <c r="P7" s="51"/>
      <c r="Q7" s="51"/>
      <c r="R7" s="51"/>
    </row>
    <row r="8" spans="1:18" ht="12.75">
      <c r="A8" s="38"/>
      <c r="B8" s="38"/>
      <c r="C8" s="40" t="s">
        <v>23</v>
      </c>
      <c r="D8" s="38"/>
      <c r="E8" s="18" t="s">
        <v>24</v>
      </c>
      <c r="F8" s="18" t="s">
        <v>25</v>
      </c>
      <c r="G8" s="18" t="s">
        <v>24</v>
      </c>
      <c r="H8" s="18" t="s">
        <v>25</v>
      </c>
      <c r="I8" s="46"/>
      <c r="J8" s="50" t="s">
        <v>24</v>
      </c>
      <c r="K8" s="50" t="s">
        <v>26</v>
      </c>
      <c r="L8" s="50" t="s">
        <v>24</v>
      </c>
      <c r="M8" s="50" t="s">
        <v>26</v>
      </c>
      <c r="N8" s="46"/>
      <c r="O8" s="50" t="s">
        <v>24</v>
      </c>
      <c r="P8" s="50" t="s">
        <v>26</v>
      </c>
      <c r="Q8" s="50" t="s">
        <v>24</v>
      </c>
      <c r="R8" s="50" t="s">
        <v>26</v>
      </c>
    </row>
    <row r="9" spans="1:18" s="111" customFormat="1" ht="12.75">
      <c r="A9" s="38"/>
      <c r="B9" s="38"/>
      <c r="C9" s="40"/>
      <c r="D9" s="38"/>
      <c r="E9" s="50" t="s">
        <v>205</v>
      </c>
      <c r="F9" s="50" t="s">
        <v>205</v>
      </c>
      <c r="G9" s="18" t="s">
        <v>65</v>
      </c>
      <c r="H9" s="18" t="s">
        <v>65</v>
      </c>
      <c r="I9" s="46"/>
      <c r="J9" s="50" t="s">
        <v>205</v>
      </c>
      <c r="K9" s="50" t="s">
        <v>205</v>
      </c>
      <c r="L9" s="50" t="s">
        <v>65</v>
      </c>
      <c r="M9" s="49" t="s">
        <v>65</v>
      </c>
      <c r="N9" s="46"/>
      <c r="O9" s="50" t="s">
        <v>205</v>
      </c>
      <c r="P9" s="50" t="s">
        <v>205</v>
      </c>
      <c r="Q9" s="50" t="s">
        <v>65</v>
      </c>
      <c r="R9" s="49" t="s">
        <v>65</v>
      </c>
    </row>
    <row r="10" spans="1:18" ht="12.75">
      <c r="A10" s="38" t="s">
        <v>144</v>
      </c>
      <c r="B10" s="38"/>
      <c r="C10" s="38"/>
      <c r="D10" s="38"/>
      <c r="E10" s="41"/>
      <c r="F10" s="41"/>
      <c r="G10" s="41"/>
      <c r="H10" s="41"/>
      <c r="I10" s="46"/>
      <c r="J10" s="46"/>
      <c r="K10" s="46"/>
      <c r="L10" s="46"/>
      <c r="M10" s="46"/>
      <c r="N10" s="46"/>
      <c r="O10" s="41"/>
      <c r="P10" s="46"/>
      <c r="Q10" s="46"/>
      <c r="R10" s="46"/>
    </row>
    <row r="11" spans="1:18" ht="12.75">
      <c r="A11" s="38"/>
      <c r="B11" s="38" t="s">
        <v>27</v>
      </c>
      <c r="C11" s="40">
        <v>1</v>
      </c>
      <c r="E11">
        <v>0.439</v>
      </c>
      <c r="F11" s="41">
        <f>IF(E11="","",E11*$C11)</f>
        <v>0.439</v>
      </c>
      <c r="G11" s="41">
        <f>IF(E11=0,"",IF(D11="nd",E11/2,E11))</f>
        <v>0.439</v>
      </c>
      <c r="H11" s="41">
        <f>IF(G11="","",G11*$C11)</f>
        <v>0.439</v>
      </c>
      <c r="J11">
        <v>0.452</v>
      </c>
      <c r="K11" s="41">
        <f>IF(J11="","",J11*$C11)</f>
        <v>0.452</v>
      </c>
      <c r="L11" s="41">
        <f>IF(J11=0,"",IF(I11="nd",J11/2,J11))</f>
        <v>0.452</v>
      </c>
      <c r="M11" s="41">
        <f>IF(L11="","",L11*$C11)</f>
        <v>0.452</v>
      </c>
      <c r="O11">
        <v>0.507</v>
      </c>
      <c r="P11" s="41">
        <f>IF(O11="","",O11*$C11)</f>
        <v>0.507</v>
      </c>
      <c r="Q11" s="41">
        <f>IF(O11=0,"",IF(N11="nd",O11/2,O11))</f>
        <v>0.507</v>
      </c>
      <c r="R11" s="41">
        <f>IF(Q11="","",Q11*$C11)</f>
        <v>0.507</v>
      </c>
    </row>
    <row r="12" spans="1:18" ht="12.75">
      <c r="A12" s="38"/>
      <c r="B12" s="38" t="s">
        <v>100</v>
      </c>
      <c r="C12" s="40">
        <v>0</v>
      </c>
      <c r="E12"/>
      <c r="F12" s="41">
        <f aca="true" t="shared" si="0" ref="F12:H35">IF(E12="","",E12*$C12)</f>
      </c>
      <c r="G12" s="41">
        <f aca="true" t="shared" si="1" ref="G12:G35">IF(E12=0,"",IF(D12="nd",E12/2,E12))</f>
      </c>
      <c r="H12" s="41">
        <f t="shared" si="0"/>
      </c>
      <c r="K12" s="41">
        <f aca="true" t="shared" si="2" ref="K12:M35">IF(J12="","",J12*$C12)</f>
      </c>
      <c r="L12" s="41">
        <f aca="true" t="shared" si="3" ref="L12:L35">IF(J12=0,"",IF(I12="nd",J12/2,J12))</f>
      </c>
      <c r="M12" s="41">
        <f t="shared" si="2"/>
      </c>
      <c r="P12" s="41">
        <f aca="true" t="shared" si="4" ref="P12:R35">IF(O12="","",O12*$C12)</f>
      </c>
      <c r="Q12" s="41">
        <f aca="true" t="shared" si="5" ref="Q12:Q35">IF(O12=0,"",IF(N12="nd",O12/2,O12))</f>
      </c>
      <c r="R12" s="41">
        <f t="shared" si="4"/>
      </c>
    </row>
    <row r="13" spans="1:18" ht="12.75">
      <c r="A13" s="38"/>
      <c r="B13" s="38" t="s">
        <v>29</v>
      </c>
      <c r="C13" s="40">
        <v>0.5</v>
      </c>
      <c r="E13">
        <v>1.416</v>
      </c>
      <c r="F13" s="41">
        <f t="shared" si="0"/>
        <v>0.708</v>
      </c>
      <c r="G13" s="41">
        <f t="shared" si="1"/>
        <v>1.416</v>
      </c>
      <c r="H13" s="41">
        <f t="shared" si="0"/>
        <v>0.708</v>
      </c>
      <c r="J13">
        <v>1.534</v>
      </c>
      <c r="K13" s="41">
        <f t="shared" si="2"/>
        <v>0.767</v>
      </c>
      <c r="L13" s="41">
        <f t="shared" si="3"/>
        <v>1.534</v>
      </c>
      <c r="M13" s="41">
        <f t="shared" si="2"/>
        <v>0.767</v>
      </c>
      <c r="O13">
        <v>3.161</v>
      </c>
      <c r="P13" s="41">
        <f t="shared" si="4"/>
        <v>1.5805</v>
      </c>
      <c r="Q13" s="41">
        <f t="shared" si="5"/>
        <v>3.161</v>
      </c>
      <c r="R13" s="41">
        <f t="shared" si="4"/>
        <v>1.5805</v>
      </c>
    </row>
    <row r="14" spans="1:18" ht="12.75">
      <c r="A14" s="38"/>
      <c r="B14" s="38" t="s">
        <v>101</v>
      </c>
      <c r="C14" s="40">
        <v>0</v>
      </c>
      <c r="E14"/>
      <c r="F14" s="41">
        <f t="shared" si="0"/>
      </c>
      <c r="G14" s="41">
        <f t="shared" si="1"/>
      </c>
      <c r="H14" s="41">
        <f t="shared" si="0"/>
      </c>
      <c r="K14" s="41">
        <f t="shared" si="2"/>
      </c>
      <c r="L14" s="41">
        <f t="shared" si="3"/>
      </c>
      <c r="M14" s="41">
        <f t="shared" si="2"/>
      </c>
      <c r="P14" s="41">
        <f t="shared" si="4"/>
      </c>
      <c r="Q14" s="41">
        <f t="shared" si="5"/>
      </c>
      <c r="R14" s="41">
        <f t="shared" si="4"/>
      </c>
    </row>
    <row r="15" spans="1:18" ht="12.75">
      <c r="A15" s="38"/>
      <c r="B15" s="38" t="s">
        <v>30</v>
      </c>
      <c r="C15" s="40">
        <v>0.1</v>
      </c>
      <c r="E15">
        <v>2.221</v>
      </c>
      <c r="F15" s="41">
        <f t="shared" si="0"/>
        <v>0.22210000000000002</v>
      </c>
      <c r="G15" s="41">
        <f t="shared" si="1"/>
        <v>2.221</v>
      </c>
      <c r="H15" s="41">
        <f t="shared" si="0"/>
        <v>0.22210000000000002</v>
      </c>
      <c r="J15">
        <v>2.249</v>
      </c>
      <c r="K15" s="41">
        <f t="shared" si="2"/>
        <v>0.22490000000000002</v>
      </c>
      <c r="L15" s="41">
        <f t="shared" si="3"/>
        <v>2.249</v>
      </c>
      <c r="M15" s="41">
        <f t="shared" si="2"/>
        <v>0.22490000000000002</v>
      </c>
      <c r="O15">
        <v>4.934</v>
      </c>
      <c r="P15" s="41">
        <f t="shared" si="4"/>
        <v>0.49340000000000006</v>
      </c>
      <c r="Q15" s="41">
        <f t="shared" si="5"/>
        <v>4.934</v>
      </c>
      <c r="R15" s="41">
        <f t="shared" si="4"/>
        <v>0.49340000000000006</v>
      </c>
    </row>
    <row r="16" spans="1:18" ht="12.75">
      <c r="A16" s="38"/>
      <c r="B16" s="38" t="s">
        <v>31</v>
      </c>
      <c r="C16" s="40">
        <v>0.1</v>
      </c>
      <c r="E16">
        <v>5.932</v>
      </c>
      <c r="F16" s="41">
        <f t="shared" si="0"/>
        <v>0.5932000000000001</v>
      </c>
      <c r="G16" s="41">
        <f t="shared" si="1"/>
        <v>5.932</v>
      </c>
      <c r="H16" s="41">
        <f t="shared" si="0"/>
        <v>0.5932000000000001</v>
      </c>
      <c r="J16">
        <v>7.021</v>
      </c>
      <c r="K16" s="41">
        <f t="shared" si="2"/>
        <v>0.7021000000000001</v>
      </c>
      <c r="L16" s="41">
        <f t="shared" si="3"/>
        <v>7.021</v>
      </c>
      <c r="M16" s="41">
        <f t="shared" si="2"/>
        <v>0.7021000000000001</v>
      </c>
      <c r="O16">
        <v>18.332</v>
      </c>
      <c r="P16" s="41">
        <f t="shared" si="4"/>
        <v>1.8332000000000002</v>
      </c>
      <c r="Q16" s="41">
        <f t="shared" si="5"/>
        <v>18.332</v>
      </c>
      <c r="R16" s="41">
        <f t="shared" si="4"/>
        <v>1.8332000000000002</v>
      </c>
    </row>
    <row r="17" spans="1:18" ht="12.75">
      <c r="A17" s="38"/>
      <c r="B17" s="38" t="s">
        <v>32</v>
      </c>
      <c r="C17" s="40">
        <v>0.1</v>
      </c>
      <c r="E17">
        <v>2.624</v>
      </c>
      <c r="F17" s="41">
        <f t="shared" si="0"/>
        <v>0.2624</v>
      </c>
      <c r="G17" s="41">
        <f t="shared" si="1"/>
        <v>2.624</v>
      </c>
      <c r="H17" s="41">
        <f t="shared" si="0"/>
        <v>0.2624</v>
      </c>
      <c r="J17">
        <v>3.404</v>
      </c>
      <c r="K17" s="41">
        <f t="shared" si="2"/>
        <v>0.34040000000000004</v>
      </c>
      <c r="L17" s="41">
        <f t="shared" si="3"/>
        <v>3.404</v>
      </c>
      <c r="M17" s="41">
        <f t="shared" si="2"/>
        <v>0.34040000000000004</v>
      </c>
      <c r="O17">
        <v>8.729</v>
      </c>
      <c r="P17" s="41">
        <f t="shared" si="4"/>
        <v>0.8729</v>
      </c>
      <c r="Q17" s="41">
        <f t="shared" si="5"/>
        <v>8.729</v>
      </c>
      <c r="R17" s="41">
        <f t="shared" si="4"/>
        <v>0.8729</v>
      </c>
    </row>
    <row r="18" spans="1:18" ht="12.75">
      <c r="A18" s="38"/>
      <c r="B18" s="38" t="s">
        <v>102</v>
      </c>
      <c r="C18" s="40">
        <v>0</v>
      </c>
      <c r="E18"/>
      <c r="F18" s="41">
        <f t="shared" si="0"/>
      </c>
      <c r="G18" s="41">
        <f t="shared" si="1"/>
      </c>
      <c r="H18" s="41">
        <f t="shared" si="0"/>
      </c>
      <c r="K18" s="41">
        <f t="shared" si="2"/>
      </c>
      <c r="L18" s="41">
        <f t="shared" si="3"/>
      </c>
      <c r="M18" s="41">
        <f t="shared" si="2"/>
      </c>
      <c r="P18" s="41">
        <f t="shared" si="4"/>
      </c>
      <c r="Q18" s="41">
        <f t="shared" si="5"/>
      </c>
      <c r="R18" s="41">
        <f t="shared" si="4"/>
      </c>
    </row>
    <row r="19" spans="1:18" ht="12.75">
      <c r="A19" s="38"/>
      <c r="B19" s="38" t="s">
        <v>33</v>
      </c>
      <c r="C19" s="40">
        <v>0.01</v>
      </c>
      <c r="E19">
        <v>38.172</v>
      </c>
      <c r="F19" s="41">
        <f t="shared" si="0"/>
        <v>0.38172</v>
      </c>
      <c r="G19" s="41">
        <f t="shared" si="1"/>
        <v>38.172</v>
      </c>
      <c r="H19" s="41">
        <f t="shared" si="0"/>
        <v>0.38172</v>
      </c>
      <c r="J19">
        <v>48.13</v>
      </c>
      <c r="K19" s="41">
        <f t="shared" si="2"/>
        <v>0.48130000000000006</v>
      </c>
      <c r="L19" s="41">
        <f t="shared" si="3"/>
        <v>48.13</v>
      </c>
      <c r="M19" s="41">
        <f t="shared" si="2"/>
        <v>0.48130000000000006</v>
      </c>
      <c r="O19">
        <v>122.97</v>
      </c>
      <c r="P19" s="41">
        <f t="shared" si="4"/>
        <v>1.2297</v>
      </c>
      <c r="Q19" s="41">
        <f t="shared" si="5"/>
        <v>122.97</v>
      </c>
      <c r="R19" s="41">
        <f t="shared" si="4"/>
        <v>1.2297</v>
      </c>
    </row>
    <row r="20" spans="1:18" ht="12.75">
      <c r="A20" s="38"/>
      <c r="B20" s="38" t="s">
        <v>103</v>
      </c>
      <c r="C20" s="40">
        <v>0</v>
      </c>
      <c r="E20"/>
      <c r="F20" s="41">
        <f t="shared" si="0"/>
      </c>
      <c r="G20" s="41">
        <f t="shared" si="1"/>
      </c>
      <c r="H20" s="41">
        <f t="shared" si="0"/>
      </c>
      <c r="K20" s="41">
        <f t="shared" si="2"/>
      </c>
      <c r="L20" s="41">
        <f t="shared" si="3"/>
      </c>
      <c r="M20" s="41">
        <f t="shared" si="2"/>
      </c>
      <c r="P20" s="41">
        <f t="shared" si="4"/>
      </c>
      <c r="Q20" s="41">
        <f t="shared" si="5"/>
      </c>
      <c r="R20" s="41">
        <f t="shared" si="4"/>
      </c>
    </row>
    <row r="21" spans="1:18" ht="12.75">
      <c r="A21" s="38"/>
      <c r="B21" s="38" t="s">
        <v>34</v>
      </c>
      <c r="C21" s="40">
        <v>0.001</v>
      </c>
      <c r="E21">
        <v>6.398</v>
      </c>
      <c r="F21" s="41">
        <f t="shared" si="0"/>
        <v>0.006398</v>
      </c>
      <c r="G21" s="41">
        <f t="shared" si="1"/>
        <v>6.398</v>
      </c>
      <c r="H21" s="41">
        <f t="shared" si="0"/>
        <v>0.006398</v>
      </c>
      <c r="J21">
        <v>9.94</v>
      </c>
      <c r="K21" s="41">
        <f t="shared" si="2"/>
        <v>0.00994</v>
      </c>
      <c r="L21" s="41">
        <f t="shared" si="3"/>
        <v>9.94</v>
      </c>
      <c r="M21" s="41">
        <f t="shared" si="2"/>
        <v>0.00994</v>
      </c>
      <c r="O21">
        <v>23.89</v>
      </c>
      <c r="P21" s="41">
        <f t="shared" si="4"/>
        <v>0.02389</v>
      </c>
      <c r="Q21" s="41">
        <f t="shared" si="5"/>
        <v>23.89</v>
      </c>
      <c r="R21" s="41">
        <f t="shared" si="4"/>
        <v>0.02389</v>
      </c>
    </row>
    <row r="22" spans="1:18" ht="12.75">
      <c r="A22" s="38"/>
      <c r="B22" s="38" t="s">
        <v>35</v>
      </c>
      <c r="C22" s="40">
        <v>0.1</v>
      </c>
      <c r="E22">
        <v>2.221</v>
      </c>
      <c r="F22" s="41">
        <f t="shared" si="0"/>
        <v>0.22210000000000002</v>
      </c>
      <c r="G22" s="41">
        <f t="shared" si="1"/>
        <v>2.221</v>
      </c>
      <c r="H22" s="41">
        <f t="shared" si="0"/>
        <v>0.22210000000000002</v>
      </c>
      <c r="J22">
        <v>2.326</v>
      </c>
      <c r="K22" s="41">
        <f t="shared" si="2"/>
        <v>0.23260000000000003</v>
      </c>
      <c r="L22" s="41">
        <f t="shared" si="3"/>
        <v>2.326</v>
      </c>
      <c r="M22" s="41">
        <f t="shared" si="2"/>
        <v>0.23260000000000003</v>
      </c>
      <c r="O22">
        <v>3.415</v>
      </c>
      <c r="P22" s="41">
        <f t="shared" si="4"/>
        <v>0.3415</v>
      </c>
      <c r="Q22" s="41">
        <f t="shared" si="5"/>
        <v>3.415</v>
      </c>
      <c r="R22" s="41">
        <f t="shared" si="4"/>
        <v>0.3415</v>
      </c>
    </row>
    <row r="23" spans="1:18" ht="12.75">
      <c r="A23" s="38"/>
      <c r="B23" s="38" t="s">
        <v>104</v>
      </c>
      <c r="C23" s="40">
        <v>0</v>
      </c>
      <c r="E23"/>
      <c r="F23" s="41">
        <f t="shared" si="0"/>
      </c>
      <c r="G23" s="41">
        <f t="shared" si="1"/>
      </c>
      <c r="H23" s="41">
        <f t="shared" si="0"/>
      </c>
      <c r="K23" s="41">
        <f t="shared" si="2"/>
      </c>
      <c r="L23" s="41">
        <f t="shared" si="3"/>
      </c>
      <c r="M23" s="41">
        <f t="shared" si="2"/>
      </c>
      <c r="P23" s="41">
        <f t="shared" si="4"/>
      </c>
      <c r="Q23" s="41">
        <f t="shared" si="5"/>
      </c>
      <c r="R23" s="41">
        <f t="shared" si="4"/>
      </c>
    </row>
    <row r="24" spans="1:18" ht="12.75">
      <c r="A24" s="38"/>
      <c r="B24" s="38" t="s">
        <v>36</v>
      </c>
      <c r="C24" s="40">
        <v>0.05</v>
      </c>
      <c r="E24">
        <v>1.82</v>
      </c>
      <c r="F24" s="41">
        <f t="shared" si="0"/>
        <v>0.09100000000000001</v>
      </c>
      <c r="G24" s="41">
        <f t="shared" si="1"/>
        <v>1.82</v>
      </c>
      <c r="H24" s="41">
        <f t="shared" si="0"/>
        <v>0.09100000000000001</v>
      </c>
      <c r="J24">
        <v>2.034</v>
      </c>
      <c r="K24" s="41">
        <f t="shared" si="2"/>
        <v>0.1017</v>
      </c>
      <c r="L24" s="41">
        <f t="shared" si="3"/>
        <v>2.034</v>
      </c>
      <c r="M24" s="41">
        <f t="shared" si="2"/>
        <v>0.1017</v>
      </c>
      <c r="O24">
        <v>3.86</v>
      </c>
      <c r="P24" s="41">
        <f t="shared" si="4"/>
        <v>0.193</v>
      </c>
      <c r="Q24" s="41">
        <f t="shared" si="5"/>
        <v>3.86</v>
      </c>
      <c r="R24" s="41">
        <f t="shared" si="4"/>
        <v>0.193</v>
      </c>
    </row>
    <row r="25" spans="1:18" ht="12.75">
      <c r="A25" s="38"/>
      <c r="B25" s="38" t="s">
        <v>37</v>
      </c>
      <c r="C25" s="40">
        <v>0.5</v>
      </c>
      <c r="E25">
        <v>4.23</v>
      </c>
      <c r="F25" s="41">
        <f t="shared" si="0"/>
        <v>2.115</v>
      </c>
      <c r="G25" s="41">
        <f t="shared" si="1"/>
        <v>4.23</v>
      </c>
      <c r="H25" s="41">
        <f t="shared" si="0"/>
        <v>2.115</v>
      </c>
      <c r="J25">
        <v>5.18</v>
      </c>
      <c r="K25" s="41">
        <f t="shared" si="2"/>
        <v>2.59</v>
      </c>
      <c r="L25" s="41">
        <f t="shared" si="3"/>
        <v>5.18</v>
      </c>
      <c r="M25" s="41">
        <f t="shared" si="2"/>
        <v>2.59</v>
      </c>
      <c r="O25">
        <v>8.64</v>
      </c>
      <c r="P25" s="41">
        <f t="shared" si="4"/>
        <v>4.32</v>
      </c>
      <c r="Q25" s="41">
        <f t="shared" si="5"/>
        <v>8.64</v>
      </c>
      <c r="R25" s="41">
        <f t="shared" si="4"/>
        <v>4.32</v>
      </c>
    </row>
    <row r="26" spans="1:18" ht="12.75">
      <c r="A26" s="38"/>
      <c r="B26" s="38" t="s">
        <v>105</v>
      </c>
      <c r="C26" s="40">
        <v>0</v>
      </c>
      <c r="E26"/>
      <c r="F26" s="41">
        <f t="shared" si="0"/>
      </c>
      <c r="G26" s="41">
        <f t="shared" si="1"/>
      </c>
      <c r="H26" s="41">
        <f t="shared" si="0"/>
      </c>
      <c r="K26" s="41">
        <f t="shared" si="2"/>
      </c>
      <c r="L26" s="41">
        <f t="shared" si="3"/>
      </c>
      <c r="M26" s="41">
        <f t="shared" si="2"/>
      </c>
      <c r="P26" s="41">
        <f t="shared" si="4"/>
      </c>
      <c r="Q26" s="41">
        <f t="shared" si="5"/>
      </c>
      <c r="R26" s="41">
        <f t="shared" si="4"/>
      </c>
    </row>
    <row r="27" spans="1:18" ht="12.75">
      <c r="A27" s="38"/>
      <c r="B27" s="38" t="s">
        <v>38</v>
      </c>
      <c r="C27" s="40">
        <v>0.1</v>
      </c>
      <c r="E27">
        <v>1.318</v>
      </c>
      <c r="F27" s="41">
        <f t="shared" si="0"/>
        <v>0.1318</v>
      </c>
      <c r="G27" s="41">
        <f t="shared" si="1"/>
        <v>1.318</v>
      </c>
      <c r="H27" s="41">
        <f t="shared" si="0"/>
        <v>0.1318</v>
      </c>
      <c r="J27">
        <v>1.835</v>
      </c>
      <c r="K27" s="41">
        <f t="shared" si="2"/>
        <v>0.1835</v>
      </c>
      <c r="L27" s="41">
        <f t="shared" si="3"/>
        <v>1.835</v>
      </c>
      <c r="M27" s="41">
        <f t="shared" si="2"/>
        <v>0.1835</v>
      </c>
      <c r="O27">
        <v>4.97</v>
      </c>
      <c r="P27" s="41">
        <f t="shared" si="4"/>
        <v>0.497</v>
      </c>
      <c r="Q27" s="41">
        <f t="shared" si="5"/>
        <v>4.97</v>
      </c>
      <c r="R27" s="41">
        <f t="shared" si="4"/>
        <v>0.497</v>
      </c>
    </row>
    <row r="28" spans="1:18" ht="12.75">
      <c r="A28" s="38"/>
      <c r="B28" s="38" t="s">
        <v>39</v>
      </c>
      <c r="C28" s="40">
        <v>0.1</v>
      </c>
      <c r="E28">
        <v>1.114</v>
      </c>
      <c r="F28" s="41">
        <f t="shared" si="0"/>
        <v>0.11140000000000001</v>
      </c>
      <c r="G28" s="41">
        <f t="shared" si="1"/>
        <v>1.114</v>
      </c>
      <c r="H28" s="41">
        <f t="shared" si="0"/>
        <v>0.11140000000000001</v>
      </c>
      <c r="J28">
        <v>1.534</v>
      </c>
      <c r="K28" s="41">
        <f t="shared" si="2"/>
        <v>0.1534</v>
      </c>
      <c r="L28" s="41">
        <f t="shared" si="3"/>
        <v>1.534</v>
      </c>
      <c r="M28" s="41">
        <f t="shared" si="2"/>
        <v>0.1534</v>
      </c>
      <c r="O28">
        <v>3.473</v>
      </c>
      <c r="P28" s="41">
        <f t="shared" si="4"/>
        <v>0.3473</v>
      </c>
      <c r="Q28" s="41">
        <f t="shared" si="5"/>
        <v>3.473</v>
      </c>
      <c r="R28" s="41">
        <f t="shared" si="4"/>
        <v>0.3473</v>
      </c>
    </row>
    <row r="29" spans="1:18" ht="12.75">
      <c r="A29" s="38"/>
      <c r="B29" s="38" t="s">
        <v>40</v>
      </c>
      <c r="C29" s="40">
        <v>0.1</v>
      </c>
      <c r="E29">
        <v>1.215</v>
      </c>
      <c r="F29" s="41">
        <f t="shared" si="0"/>
        <v>0.12150000000000001</v>
      </c>
      <c r="G29" s="41">
        <f t="shared" si="1"/>
        <v>1.215</v>
      </c>
      <c r="H29" s="41">
        <f t="shared" si="0"/>
        <v>0.12150000000000001</v>
      </c>
      <c r="J29">
        <v>1.339</v>
      </c>
      <c r="K29" s="41">
        <f t="shared" si="2"/>
        <v>0.1339</v>
      </c>
      <c r="L29" s="41">
        <f t="shared" si="3"/>
        <v>1.339</v>
      </c>
      <c r="M29" s="41">
        <f t="shared" si="2"/>
        <v>0.1339</v>
      </c>
      <c r="O29">
        <v>3.59</v>
      </c>
      <c r="P29" s="41">
        <f t="shared" si="4"/>
        <v>0.359</v>
      </c>
      <c r="Q29" s="41">
        <f t="shared" si="5"/>
        <v>3.59</v>
      </c>
      <c r="R29" s="41">
        <f t="shared" si="4"/>
        <v>0.359</v>
      </c>
    </row>
    <row r="30" spans="1:18" ht="12.75">
      <c r="A30" s="38"/>
      <c r="B30" s="38" t="s">
        <v>41</v>
      </c>
      <c r="C30" s="40">
        <v>0.1</v>
      </c>
      <c r="E30">
        <v>0.253</v>
      </c>
      <c r="F30" s="41">
        <f t="shared" si="0"/>
        <v>0.025300000000000003</v>
      </c>
      <c r="G30" s="41">
        <f t="shared" si="1"/>
        <v>0.253</v>
      </c>
      <c r="H30" s="41">
        <f t="shared" si="0"/>
        <v>0.025300000000000003</v>
      </c>
      <c r="J30">
        <v>0.319</v>
      </c>
      <c r="K30" s="41">
        <f t="shared" si="2"/>
        <v>0.031900000000000005</v>
      </c>
      <c r="L30" s="41">
        <f t="shared" si="3"/>
        <v>0.319</v>
      </c>
      <c r="M30" s="41">
        <f t="shared" si="2"/>
        <v>0.031900000000000005</v>
      </c>
      <c r="O30">
        <v>0.782</v>
      </c>
      <c r="P30" s="41">
        <f t="shared" si="4"/>
        <v>0.0782</v>
      </c>
      <c r="Q30" s="41">
        <f t="shared" si="5"/>
        <v>0.782</v>
      </c>
      <c r="R30" s="41">
        <f t="shared" si="4"/>
        <v>0.0782</v>
      </c>
    </row>
    <row r="31" spans="1:18" ht="12.75">
      <c r="A31" s="38"/>
      <c r="B31" s="38" t="s">
        <v>106</v>
      </c>
      <c r="C31" s="40">
        <v>0</v>
      </c>
      <c r="E31"/>
      <c r="F31" s="41">
        <f t="shared" si="0"/>
      </c>
      <c r="G31" s="41">
        <f t="shared" si="1"/>
      </c>
      <c r="H31" s="41">
        <f t="shared" si="0"/>
      </c>
      <c r="K31" s="41">
        <f t="shared" si="2"/>
      </c>
      <c r="L31" s="41">
        <f t="shared" si="3"/>
      </c>
      <c r="M31" s="41">
        <f t="shared" si="2"/>
      </c>
      <c r="P31" s="41">
        <f t="shared" si="4"/>
      </c>
      <c r="Q31" s="41">
        <f t="shared" si="5"/>
      </c>
      <c r="R31" s="41">
        <f t="shared" si="4"/>
      </c>
    </row>
    <row r="32" spans="1:18" ht="12.75">
      <c r="A32" s="38"/>
      <c r="B32" s="38" t="s">
        <v>42</v>
      </c>
      <c r="C32" s="40">
        <v>0.01</v>
      </c>
      <c r="E32">
        <v>0.819</v>
      </c>
      <c r="F32" s="41">
        <f t="shared" si="0"/>
        <v>0.00819</v>
      </c>
      <c r="G32" s="41">
        <f t="shared" si="1"/>
        <v>0.819</v>
      </c>
      <c r="H32" s="41">
        <f t="shared" si="0"/>
        <v>0.00819</v>
      </c>
      <c r="J32">
        <v>1.335</v>
      </c>
      <c r="K32" s="41">
        <f t="shared" si="2"/>
        <v>0.01335</v>
      </c>
      <c r="L32" s="41">
        <f t="shared" si="3"/>
        <v>1.335</v>
      </c>
      <c r="M32" s="41">
        <f t="shared" si="2"/>
        <v>0.01335</v>
      </c>
      <c r="O32">
        <v>2.886</v>
      </c>
      <c r="P32" s="41">
        <f t="shared" si="4"/>
        <v>0.02886</v>
      </c>
      <c r="Q32" s="41">
        <f t="shared" si="5"/>
        <v>2.886</v>
      </c>
      <c r="R32" s="41">
        <f t="shared" si="4"/>
        <v>0.02886</v>
      </c>
    </row>
    <row r="33" spans="1:18" ht="12.75">
      <c r="A33" s="38"/>
      <c r="B33" s="38" t="s">
        <v>43</v>
      </c>
      <c r="C33" s="40">
        <v>0.01</v>
      </c>
      <c r="E33">
        <v>0.249</v>
      </c>
      <c r="F33" s="41">
        <f t="shared" si="0"/>
        <v>0.00249</v>
      </c>
      <c r="G33" s="41">
        <f t="shared" si="1"/>
        <v>0.249</v>
      </c>
      <c r="H33" s="41">
        <f t="shared" si="0"/>
        <v>0.00249</v>
      </c>
      <c r="J33">
        <v>0.426</v>
      </c>
      <c r="K33" s="41">
        <f t="shared" si="2"/>
        <v>0.00426</v>
      </c>
      <c r="L33" s="41">
        <f t="shared" si="3"/>
        <v>0.426</v>
      </c>
      <c r="M33" s="41">
        <f t="shared" si="2"/>
        <v>0.00426</v>
      </c>
      <c r="O33">
        <v>1.017</v>
      </c>
      <c r="P33" s="41">
        <f t="shared" si="4"/>
        <v>0.010169999999999998</v>
      </c>
      <c r="Q33" s="41">
        <f t="shared" si="5"/>
        <v>1.017</v>
      </c>
      <c r="R33" s="41">
        <f t="shared" si="4"/>
        <v>0.010169999999999998</v>
      </c>
    </row>
    <row r="34" spans="1:18" ht="12.75">
      <c r="A34" s="38"/>
      <c r="B34" s="38" t="s">
        <v>107</v>
      </c>
      <c r="C34" s="40">
        <v>0</v>
      </c>
      <c r="E34"/>
      <c r="F34" s="41">
        <f t="shared" si="0"/>
      </c>
      <c r="G34" s="41">
        <f t="shared" si="1"/>
      </c>
      <c r="H34" s="41">
        <f t="shared" si="0"/>
      </c>
      <c r="K34" s="41">
        <f t="shared" si="2"/>
      </c>
      <c r="L34" s="41">
        <f t="shared" si="3"/>
      </c>
      <c r="M34" s="41">
        <f t="shared" si="2"/>
      </c>
      <c r="P34" s="41">
        <f t="shared" si="4"/>
      </c>
      <c r="Q34" s="41">
        <f t="shared" si="5"/>
      </c>
      <c r="R34" s="41">
        <f t="shared" si="4"/>
      </c>
    </row>
    <row r="35" spans="1:18" ht="12.75">
      <c r="A35" s="38"/>
      <c r="B35" s="38" t="s">
        <v>44</v>
      </c>
      <c r="C35" s="40">
        <v>0.001</v>
      </c>
      <c r="E35">
        <v>0.143</v>
      </c>
      <c r="F35" s="41">
        <f t="shared" si="0"/>
        <v>0.00014299999999999998</v>
      </c>
      <c r="G35" s="41">
        <f t="shared" si="1"/>
        <v>0.143</v>
      </c>
      <c r="H35" s="41">
        <f t="shared" si="0"/>
        <v>0.00014299999999999998</v>
      </c>
      <c r="J35">
        <v>0.282</v>
      </c>
      <c r="K35" s="41">
        <f t="shared" si="2"/>
        <v>0.00028199999999999997</v>
      </c>
      <c r="L35" s="41">
        <f t="shared" si="3"/>
        <v>0.282</v>
      </c>
      <c r="M35" s="41">
        <f t="shared" si="2"/>
        <v>0.00028199999999999997</v>
      </c>
      <c r="O35">
        <v>0.503</v>
      </c>
      <c r="P35" s="41">
        <f t="shared" si="4"/>
        <v>0.000503</v>
      </c>
      <c r="Q35" s="41">
        <f t="shared" si="5"/>
        <v>0.503</v>
      </c>
      <c r="R35" s="41">
        <f t="shared" si="4"/>
        <v>0.000503</v>
      </c>
    </row>
    <row r="36" spans="1:18" ht="12.75">
      <c r="A36" s="38"/>
      <c r="B36" s="38"/>
      <c r="C36" s="38"/>
      <c r="D36" s="38"/>
      <c r="E36" s="41"/>
      <c r="F36" s="41"/>
      <c r="G36" s="41"/>
      <c r="H36" s="41"/>
      <c r="I36" s="44"/>
      <c r="J36" s="20"/>
      <c r="K36" s="41"/>
      <c r="L36" s="41"/>
      <c r="M36" s="41"/>
      <c r="N36" s="44"/>
      <c r="O36" s="20"/>
      <c r="P36" s="46"/>
      <c r="Q36" s="44"/>
      <c r="R36" s="46"/>
    </row>
    <row r="37" spans="1:18" ht="12.75">
      <c r="A37" s="38"/>
      <c r="B37" s="38" t="s">
        <v>45</v>
      </c>
      <c r="C37" s="38"/>
      <c r="D37" s="38"/>
      <c r="F37" s="44">
        <v>116.4</v>
      </c>
      <c r="G37" s="44">
        <f>3.294/0.0283</f>
        <v>116.39575971731449</v>
      </c>
      <c r="H37" s="44">
        <v>116.4</v>
      </c>
      <c r="I37" s="44"/>
      <c r="J37" s="44"/>
      <c r="K37" s="44">
        <v>116.04</v>
      </c>
      <c r="L37" s="44">
        <f>3.284/0.0283</f>
        <v>116.04240282685512</v>
      </c>
      <c r="M37" s="44">
        <v>116.04</v>
      </c>
      <c r="N37" s="44"/>
      <c r="O37" s="44"/>
      <c r="P37" s="44">
        <v>116.61</v>
      </c>
      <c r="Q37" s="44">
        <f>3.3/0.0283</f>
        <v>116.60777385159011</v>
      </c>
      <c r="R37" s="44">
        <v>116.61</v>
      </c>
    </row>
    <row r="38" spans="1:18" ht="12.75">
      <c r="A38" s="38"/>
      <c r="B38" s="38" t="s">
        <v>57</v>
      </c>
      <c r="C38" s="38"/>
      <c r="D38" s="38"/>
      <c r="F38" s="44">
        <v>8</v>
      </c>
      <c r="G38" s="44">
        <v>8</v>
      </c>
      <c r="H38" s="44">
        <v>8</v>
      </c>
      <c r="I38" s="44"/>
      <c r="J38" s="44"/>
      <c r="K38" s="41">
        <v>7.9</v>
      </c>
      <c r="L38" s="41">
        <v>7.9</v>
      </c>
      <c r="M38" s="41">
        <v>7.9</v>
      </c>
      <c r="N38" s="44"/>
      <c r="O38" s="44"/>
      <c r="P38" s="44">
        <v>8.2</v>
      </c>
      <c r="Q38" s="44">
        <v>8.2</v>
      </c>
      <c r="R38" s="44">
        <v>8.2</v>
      </c>
    </row>
    <row r="39" spans="1:18" ht="12.75">
      <c r="A39" s="38"/>
      <c r="B39" s="38"/>
      <c r="C39" s="38"/>
      <c r="D39" s="38"/>
      <c r="E39" s="41"/>
      <c r="F39" s="45"/>
      <c r="G39" s="41"/>
      <c r="H39" s="45"/>
      <c r="I39" s="20"/>
      <c r="J39" s="44"/>
      <c r="K39" s="45"/>
      <c r="L39" s="41"/>
      <c r="M39" s="45"/>
      <c r="N39" s="44"/>
      <c r="O39" s="44"/>
      <c r="P39" s="44"/>
      <c r="Q39" s="44"/>
      <c r="R39" s="44"/>
    </row>
    <row r="40" spans="1:18" ht="12.75">
      <c r="A40" s="38"/>
      <c r="B40" s="38" t="s">
        <v>148</v>
      </c>
      <c r="C40" s="47"/>
      <c r="D40" s="47"/>
      <c r="E40" s="41"/>
      <c r="F40" s="44">
        <f>SUM(F11:F35)</f>
        <v>5.4417409999999995</v>
      </c>
      <c r="G40" s="41"/>
      <c r="H40" s="44">
        <f>SUM(H11:H35)</f>
        <v>5.4417409999999995</v>
      </c>
      <c r="I40" s="47"/>
      <c r="J40" s="41"/>
      <c r="K40" s="44">
        <f>SUM(K11:K35)</f>
        <v>6.422532000000001</v>
      </c>
      <c r="L40" s="41"/>
      <c r="M40" s="44">
        <f>SUM(M11:M35)</f>
        <v>6.422532000000001</v>
      </c>
      <c r="N40" s="47"/>
      <c r="O40" s="44"/>
      <c r="P40" s="41">
        <f>SUM(P11:P35)</f>
        <v>12.716123000000001</v>
      </c>
      <c r="Q40" s="41"/>
      <c r="R40" s="41">
        <f>SUM(R11:R35)</f>
        <v>12.716123000000001</v>
      </c>
    </row>
    <row r="41" spans="1:18" ht="12.75">
      <c r="A41" s="38"/>
      <c r="B41" s="38" t="s">
        <v>46</v>
      </c>
      <c r="C41" s="47"/>
      <c r="D41" s="41">
        <f>(F41-H41)*2/F41*100</f>
        <v>0</v>
      </c>
      <c r="E41" s="41"/>
      <c r="F41" s="44">
        <f>F40/F37/0.0283*(21-7)/(21-F38)</f>
        <v>1.7790294408031464</v>
      </c>
      <c r="G41" s="44"/>
      <c r="H41" s="44">
        <f>H40/H37/0.0283*(21-7)/(21-H38)</f>
        <v>1.7790294408031464</v>
      </c>
      <c r="I41" s="41">
        <f>(K41-M41)*2/K41*100</f>
        <v>0</v>
      </c>
      <c r="J41" s="44"/>
      <c r="K41" s="44">
        <f>K40/K37/0.0283*(21-7)/(21-K38)</f>
        <v>2.0901086430804754</v>
      </c>
      <c r="L41" s="44"/>
      <c r="M41" s="44">
        <f>M40/M37/0.0283*(21-7)/(21-M38)</f>
        <v>2.0901086430804754</v>
      </c>
      <c r="N41" s="41">
        <f>(P41-R41)*2/P41*100</f>
        <v>0</v>
      </c>
      <c r="O41" s="44"/>
      <c r="P41" s="44">
        <f>P40/P37/0.0283*(21-7)/(21-P38)</f>
        <v>4.21454364090928</v>
      </c>
      <c r="Q41" s="44"/>
      <c r="R41" s="44">
        <f>R40/R37/0.0283*(21-7)/(21-R38)</f>
        <v>4.21454364090928</v>
      </c>
    </row>
    <row r="42" spans="1:18" ht="12.75">
      <c r="A42" s="38"/>
      <c r="B42" s="38"/>
      <c r="C42" s="38"/>
      <c r="D42" s="38"/>
      <c r="E42" s="41"/>
      <c r="F42" s="41"/>
      <c r="G42" s="41"/>
      <c r="H42" s="41"/>
      <c r="I42" s="43"/>
      <c r="J42" s="43"/>
      <c r="K42" s="43"/>
      <c r="L42" s="43"/>
      <c r="M42" s="43"/>
      <c r="N42" s="43"/>
      <c r="O42" s="43"/>
      <c r="P42" s="46"/>
      <c r="Q42" s="43"/>
      <c r="R42" s="46"/>
    </row>
    <row r="43" spans="1:18" ht="12.75">
      <c r="A43" s="44"/>
      <c r="B43" s="38" t="s">
        <v>58</v>
      </c>
      <c r="C43" s="44">
        <f>AVERAGE(H41,M41,R41)</f>
        <v>2.6945605749309673</v>
      </c>
      <c r="D43" s="44" t="s">
        <v>149</v>
      </c>
      <c r="E43" s="41"/>
      <c r="F43" s="41"/>
      <c r="G43" s="41"/>
      <c r="H43" s="41"/>
      <c r="I43" s="44"/>
      <c r="J43" s="44"/>
      <c r="K43" s="44"/>
      <c r="L43" s="44"/>
      <c r="M43" s="44"/>
      <c r="N43" s="44"/>
      <c r="O43" s="44"/>
      <c r="P43" s="46"/>
      <c r="Q43" s="44"/>
      <c r="R43" s="46"/>
    </row>
    <row r="44" spans="1:18" ht="12.75">
      <c r="A44" s="38"/>
      <c r="B44" s="38"/>
      <c r="C44" s="44"/>
      <c r="D44" s="38"/>
      <c r="E44" s="41"/>
      <c r="F44" s="41"/>
      <c r="G44" s="41"/>
      <c r="H44" s="41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85" spans="1:18" ht="12.75">
      <c r="A85" s="3"/>
      <c r="B85" s="3"/>
      <c r="C85" s="3"/>
      <c r="D85" s="3"/>
      <c r="E85" s="7"/>
      <c r="G85" s="7"/>
      <c r="J85" s="10"/>
      <c r="K85" s="9"/>
      <c r="L85" s="7"/>
      <c r="M85" s="9"/>
      <c r="N85" s="10"/>
      <c r="O85" s="10"/>
      <c r="P85" s="10"/>
      <c r="Q85" s="10"/>
      <c r="R85" s="10"/>
    </row>
    <row r="86" spans="1:18" ht="12.75">
      <c r="A86" s="3"/>
      <c r="B86" s="3"/>
      <c r="C86" s="6"/>
      <c r="D86" s="6"/>
      <c r="E86" s="7"/>
      <c r="F86" s="7"/>
      <c r="G86" s="7"/>
      <c r="H86" s="7"/>
      <c r="I86" s="6"/>
      <c r="J86" s="7"/>
      <c r="K86" s="7"/>
      <c r="L86" s="7"/>
      <c r="M86" s="7"/>
      <c r="N86" s="6"/>
      <c r="O86" s="10"/>
      <c r="P86" s="6"/>
      <c r="Q86" s="6"/>
      <c r="R86" s="6"/>
    </row>
    <row r="87" spans="1:18" ht="12.75">
      <c r="A87" s="3"/>
      <c r="B87" s="3"/>
      <c r="C87" s="6"/>
      <c r="D87" s="6"/>
      <c r="E87" s="7"/>
      <c r="F87" s="7"/>
      <c r="G87" s="7"/>
      <c r="H87" s="7"/>
      <c r="I87" s="6"/>
      <c r="J87" s="10"/>
      <c r="K87" s="6"/>
      <c r="L87" s="7"/>
      <c r="M87" s="6"/>
      <c r="N87" s="6"/>
      <c r="O87" s="10"/>
      <c r="P87" s="8"/>
      <c r="Q87" s="8"/>
      <c r="R87" s="8"/>
    </row>
  </sheetData>
  <printOptions headings="1" horizontalCentered="1" vertic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E1">
      <selection activeCell="C6" sqref="C6"/>
    </sheetView>
  </sheetViews>
  <sheetFormatPr defaultColWidth="9.140625" defaultRowHeight="12.75"/>
  <cols>
    <col min="1" max="1" width="2.421875" style="0" hidden="1" customWidth="1"/>
    <col min="2" max="2" width="1.8515625" style="0" hidden="1" customWidth="1"/>
    <col min="3" max="3" width="16.421875" style="0" bestFit="1" customWidth="1"/>
    <col min="5" max="5" width="3.28125" style="0" customWidth="1"/>
    <col min="6" max="7" width="9.140625" style="114" customWidth="1"/>
    <col min="8" max="8" width="10.28125" style="114" customWidth="1"/>
    <col min="9" max="9" width="2.28125" style="0" customWidth="1"/>
    <col min="10" max="12" width="9.140625" style="114" customWidth="1"/>
    <col min="13" max="13" width="2.421875" style="0" customWidth="1"/>
    <col min="14" max="16" width="9.140625" style="114" customWidth="1"/>
  </cols>
  <sheetData>
    <row r="1" spans="3:16" ht="12.75">
      <c r="C1" s="11" t="s">
        <v>162</v>
      </c>
      <c r="D1" s="40" t="s">
        <v>22</v>
      </c>
      <c r="F1" s="112" t="s">
        <v>188</v>
      </c>
      <c r="G1" s="112"/>
      <c r="H1" s="112"/>
      <c r="J1" s="112" t="s">
        <v>189</v>
      </c>
      <c r="K1" s="112"/>
      <c r="L1" s="112"/>
      <c r="N1" s="112" t="s">
        <v>190</v>
      </c>
      <c r="O1" s="112"/>
      <c r="P1" s="112"/>
    </row>
    <row r="2" spans="4:16" ht="12.75">
      <c r="D2" s="40" t="s">
        <v>23</v>
      </c>
      <c r="F2" s="113" t="s">
        <v>24</v>
      </c>
      <c r="G2" s="49" t="s">
        <v>24</v>
      </c>
      <c r="H2" s="49" t="s">
        <v>25</v>
      </c>
      <c r="J2" s="113" t="s">
        <v>24</v>
      </c>
      <c r="K2" s="49" t="s">
        <v>24</v>
      </c>
      <c r="L2" s="49" t="s">
        <v>25</v>
      </c>
      <c r="N2" s="113" t="s">
        <v>24</v>
      </c>
      <c r="O2" s="49" t="s">
        <v>24</v>
      </c>
      <c r="P2" s="49" t="s">
        <v>25</v>
      </c>
    </row>
    <row r="3" spans="3:16" ht="12.75">
      <c r="C3" t="s">
        <v>62</v>
      </c>
      <c r="D3" s="40"/>
      <c r="F3" s="113" t="s">
        <v>205</v>
      </c>
      <c r="G3" s="49" t="s">
        <v>65</v>
      </c>
      <c r="H3" s="49" t="s">
        <v>65</v>
      </c>
      <c r="J3" s="113" t="s">
        <v>205</v>
      </c>
      <c r="K3" s="49" t="s">
        <v>65</v>
      </c>
      <c r="L3" s="49" t="s">
        <v>65</v>
      </c>
      <c r="N3" s="113" t="s">
        <v>205</v>
      </c>
      <c r="O3" s="49" t="s">
        <v>65</v>
      </c>
      <c r="P3" s="49" t="s">
        <v>65</v>
      </c>
    </row>
    <row r="4" spans="4:16" ht="12.75">
      <c r="D4" s="38"/>
      <c r="G4" s="47"/>
      <c r="H4" s="47"/>
      <c r="K4" s="47"/>
      <c r="L4" s="47"/>
      <c r="O4" s="47"/>
      <c r="P4" s="47"/>
    </row>
    <row r="5" spans="1:38" s="82" customFormat="1" ht="12.75">
      <c r="A5" s="82" t="s">
        <v>162</v>
      </c>
      <c r="B5" s="82">
        <v>1</v>
      </c>
      <c r="C5" s="82" t="s">
        <v>206</v>
      </c>
      <c r="D5" s="40"/>
      <c r="E5" s="80"/>
      <c r="F5" s="87">
        <v>0.11111111111111112</v>
      </c>
      <c r="G5" s="47">
        <f>IF(F5=0,"",IF(E5=1,F5/2,F5))</f>
        <v>0.11111111111111112</v>
      </c>
      <c r="H5" s="47">
        <f>IF(G5="","",G5*$D5)</f>
        <v>0</v>
      </c>
      <c r="I5" s="80"/>
      <c r="J5" s="87">
        <v>0.3510294117647059</v>
      </c>
      <c r="K5" s="47">
        <f>IF(J5=0,"",IF(I5=1,J5/2,J5))</f>
        <v>0.3510294117647059</v>
      </c>
      <c r="L5" s="47">
        <f>IF(K5="","",K5*$D5)</f>
        <v>0</v>
      </c>
      <c r="M5" s="80"/>
      <c r="N5" s="87">
        <v>0.28771653543307</v>
      </c>
      <c r="O5" s="47">
        <f>IF(N5=0,"",IF(M5=1,N5/2,N5))</f>
        <v>0.28771653543307</v>
      </c>
      <c r="P5" s="47">
        <f>IF(O5="","",O5*$D5)</f>
        <v>0</v>
      </c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4:38" s="82" customFormat="1" ht="12.75">
      <c r="D6" s="40">
        <v>0</v>
      </c>
      <c r="E6" s="80"/>
      <c r="F6" s="87"/>
      <c r="G6" s="47">
        <f aca="true" t="shared" si="0" ref="G6:G37">IF(F6=0,"",IF(E6=1,F6/2,F6))</f>
      </c>
      <c r="H6" s="47">
        <f aca="true" t="shared" si="1" ref="H6:H37">IF(G6="","",G6*$D6)</f>
      </c>
      <c r="I6" s="80"/>
      <c r="J6" s="87"/>
      <c r="K6" s="47">
        <f aca="true" t="shared" si="2" ref="K6:K37">IF(J6=0,"",IF(I6=1,J6/2,J6))</f>
      </c>
      <c r="L6" s="47">
        <f aca="true" t="shared" si="3" ref="L6:L37">IF(K6="","",K6*$D6)</f>
      </c>
      <c r="M6" s="80"/>
      <c r="N6" s="87"/>
      <c r="O6" s="47">
        <f aca="true" t="shared" si="4" ref="O6:O37">IF(N6=0,"",IF(M6=1,N6/2,N6))</f>
      </c>
      <c r="P6" s="47">
        <f aca="true" t="shared" si="5" ref="P6:P37">IF(O6="","",O6*$D6)</f>
      </c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4:38" s="82" customFormat="1" ht="12.75">
      <c r="D7" s="40">
        <v>0</v>
      </c>
      <c r="E7" s="80"/>
      <c r="F7" s="87"/>
      <c r="G7" s="47">
        <f t="shared" si="0"/>
      </c>
      <c r="H7" s="47">
        <f t="shared" si="1"/>
      </c>
      <c r="I7" s="80"/>
      <c r="J7" s="87"/>
      <c r="K7" s="47">
        <f t="shared" si="2"/>
      </c>
      <c r="L7" s="47">
        <f t="shared" si="3"/>
      </c>
      <c r="M7" s="80"/>
      <c r="N7" s="87"/>
      <c r="O7" s="47">
        <f t="shared" si="4"/>
      </c>
      <c r="P7" s="47">
        <f t="shared" si="5"/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1:38" s="82" customFormat="1" ht="12.75">
      <c r="A8" s="82" t="s">
        <v>162</v>
      </c>
      <c r="B8" s="82">
        <v>4</v>
      </c>
      <c r="C8" s="82" t="s">
        <v>207</v>
      </c>
      <c r="D8" s="40">
        <v>0.5</v>
      </c>
      <c r="E8" s="80"/>
      <c r="F8" s="87">
        <v>0.33444444444444443</v>
      </c>
      <c r="G8" s="47">
        <f t="shared" si="0"/>
        <v>0.33444444444444443</v>
      </c>
      <c r="H8" s="47">
        <f t="shared" si="1"/>
        <v>0.16722222222222222</v>
      </c>
      <c r="I8" s="80"/>
      <c r="J8" s="87">
        <v>1.4308823529411765</v>
      </c>
      <c r="K8" s="47">
        <f t="shared" si="2"/>
        <v>1.4308823529411765</v>
      </c>
      <c r="L8" s="47">
        <f t="shared" si="3"/>
        <v>0.7154411764705882</v>
      </c>
      <c r="M8" s="80"/>
      <c r="N8" s="87">
        <v>0.9281889763779527</v>
      </c>
      <c r="O8" s="47">
        <f t="shared" si="4"/>
        <v>0.9281889763779527</v>
      </c>
      <c r="P8" s="47">
        <f t="shared" si="5"/>
        <v>0.46409448818897636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</row>
    <row r="9" spans="4:38" s="82" customFormat="1" ht="12.75">
      <c r="D9" s="40">
        <v>0</v>
      </c>
      <c r="E9" s="80"/>
      <c r="F9" s="87"/>
      <c r="G9" s="47">
        <f t="shared" si="0"/>
      </c>
      <c r="H9" s="47">
        <f t="shared" si="1"/>
      </c>
      <c r="I9" s="80"/>
      <c r="J9" s="87"/>
      <c r="K9" s="47">
        <f t="shared" si="2"/>
      </c>
      <c r="L9" s="47">
        <f t="shared" si="3"/>
      </c>
      <c r="M9" s="80"/>
      <c r="N9" s="87"/>
      <c r="O9" s="47">
        <f t="shared" si="4"/>
      </c>
      <c r="P9" s="47">
        <f t="shared" si="5"/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4:38" s="82" customFormat="1" ht="12.75">
      <c r="D10" s="40">
        <v>0</v>
      </c>
      <c r="E10" s="80"/>
      <c r="F10" s="87"/>
      <c r="G10" s="47">
        <f t="shared" si="0"/>
      </c>
      <c r="H10" s="47">
        <f t="shared" si="1"/>
      </c>
      <c r="I10" s="80"/>
      <c r="J10" s="87"/>
      <c r="K10" s="47">
        <f t="shared" si="2"/>
      </c>
      <c r="L10" s="47">
        <f t="shared" si="3"/>
      </c>
      <c r="M10" s="80"/>
      <c r="N10" s="87"/>
      <c r="O10" s="47">
        <f t="shared" si="4"/>
      </c>
      <c r="P10" s="47">
        <f t="shared" si="5"/>
      </c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</row>
    <row r="11" spans="1:38" s="82" customFormat="1" ht="12.75">
      <c r="A11" s="82" t="s">
        <v>162</v>
      </c>
      <c r="B11" s="82">
        <v>7</v>
      </c>
      <c r="C11" s="82" t="s">
        <v>208</v>
      </c>
      <c r="D11" s="40">
        <v>0.1</v>
      </c>
      <c r="E11" s="80"/>
      <c r="F11" s="87">
        <v>0.7477777777777779</v>
      </c>
      <c r="G11" s="47">
        <f t="shared" si="0"/>
        <v>0.7477777777777779</v>
      </c>
      <c r="H11" s="47">
        <f t="shared" si="1"/>
        <v>0.07477777777777779</v>
      </c>
      <c r="I11" s="80"/>
      <c r="J11" s="87">
        <v>1.894117647058824</v>
      </c>
      <c r="K11" s="47">
        <f t="shared" si="2"/>
        <v>1.894117647058824</v>
      </c>
      <c r="L11" s="47">
        <f t="shared" si="3"/>
        <v>0.1894117647058824</v>
      </c>
      <c r="M11" s="80"/>
      <c r="N11" s="87">
        <v>1.3448818897637795</v>
      </c>
      <c r="O11" s="47">
        <f t="shared" si="4"/>
        <v>1.3448818897637795</v>
      </c>
      <c r="P11" s="47">
        <f t="shared" si="5"/>
        <v>0.13448818897637796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</row>
    <row r="12" spans="1:38" s="82" customFormat="1" ht="12.75">
      <c r="A12" s="82" t="s">
        <v>162</v>
      </c>
      <c r="B12" s="82">
        <v>8</v>
      </c>
      <c r="C12" s="82" t="s">
        <v>209</v>
      </c>
      <c r="D12" s="40">
        <v>0.1</v>
      </c>
      <c r="E12" s="80"/>
      <c r="F12" s="87">
        <v>1.6</v>
      </c>
      <c r="G12" s="47">
        <f t="shared" si="0"/>
        <v>1.6</v>
      </c>
      <c r="H12" s="47">
        <f t="shared" si="1"/>
        <v>0.16000000000000003</v>
      </c>
      <c r="I12" s="80"/>
      <c r="J12" s="87">
        <v>3.3352941176470594</v>
      </c>
      <c r="K12" s="47">
        <f t="shared" si="2"/>
        <v>3.3352941176470594</v>
      </c>
      <c r="L12" s="47">
        <f t="shared" si="3"/>
        <v>0.33352941176470596</v>
      </c>
      <c r="M12" s="80"/>
      <c r="N12" s="87">
        <v>2.9543307086614177</v>
      </c>
      <c r="O12" s="47">
        <f t="shared" si="4"/>
        <v>2.9543307086614177</v>
      </c>
      <c r="P12" s="47">
        <f t="shared" si="5"/>
        <v>0.2954330708661418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38" s="82" customFormat="1" ht="12.75">
      <c r="A13" s="82" t="s">
        <v>162</v>
      </c>
      <c r="B13" s="82">
        <v>9</v>
      </c>
      <c r="C13" s="82" t="s">
        <v>210</v>
      </c>
      <c r="D13" s="40">
        <v>0.1</v>
      </c>
      <c r="E13" s="80"/>
      <c r="F13" s="87">
        <v>1.4111111111111112</v>
      </c>
      <c r="G13" s="47">
        <f t="shared" si="0"/>
        <v>1.4111111111111112</v>
      </c>
      <c r="H13" s="47">
        <f t="shared" si="1"/>
        <v>0.14111111111111113</v>
      </c>
      <c r="I13" s="80"/>
      <c r="J13" s="87">
        <v>4.714705882352942</v>
      </c>
      <c r="K13" s="47">
        <f t="shared" si="2"/>
        <v>4.714705882352942</v>
      </c>
      <c r="L13" s="47">
        <f t="shared" si="3"/>
        <v>0.47147058823529425</v>
      </c>
      <c r="M13" s="80"/>
      <c r="N13" s="87">
        <v>4.9275590551181105</v>
      </c>
      <c r="O13" s="47">
        <f t="shared" si="4"/>
        <v>4.9275590551181105</v>
      </c>
      <c r="P13" s="47">
        <f t="shared" si="5"/>
        <v>0.4927559055118111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</row>
    <row r="14" spans="4:38" s="82" customFormat="1" ht="12.75">
      <c r="D14" s="40">
        <v>0</v>
      </c>
      <c r="E14" s="80"/>
      <c r="F14" s="87"/>
      <c r="G14" s="47">
        <f t="shared" si="0"/>
      </c>
      <c r="H14" s="47">
        <f t="shared" si="1"/>
      </c>
      <c r="I14" s="80"/>
      <c r="J14" s="87"/>
      <c r="K14" s="47">
        <f t="shared" si="2"/>
      </c>
      <c r="L14" s="47">
        <f t="shared" si="3"/>
      </c>
      <c r="M14" s="80"/>
      <c r="N14" s="87"/>
      <c r="O14" s="47">
        <f t="shared" si="4"/>
      </c>
      <c r="P14" s="47">
        <f t="shared" si="5"/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</row>
    <row r="15" spans="4:38" s="82" customFormat="1" ht="12.75">
      <c r="D15" s="40">
        <v>0</v>
      </c>
      <c r="E15" s="80"/>
      <c r="F15" s="87"/>
      <c r="G15" s="47">
        <f t="shared" si="0"/>
      </c>
      <c r="H15" s="47">
        <f t="shared" si="1"/>
      </c>
      <c r="I15" s="80"/>
      <c r="J15" s="87"/>
      <c r="K15" s="47">
        <f t="shared" si="2"/>
      </c>
      <c r="L15" s="47">
        <f t="shared" si="3"/>
      </c>
      <c r="M15" s="80"/>
      <c r="N15" s="87"/>
      <c r="O15" s="47">
        <f t="shared" si="4"/>
      </c>
      <c r="P15" s="47">
        <f t="shared" si="5"/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</row>
    <row r="16" spans="1:38" s="82" customFormat="1" ht="12.75">
      <c r="A16" s="82" t="s">
        <v>162</v>
      </c>
      <c r="B16" s="82">
        <v>12</v>
      </c>
      <c r="C16" s="82" t="s">
        <v>211</v>
      </c>
      <c r="D16" s="40">
        <v>0.01</v>
      </c>
      <c r="E16" s="80"/>
      <c r="F16" s="87">
        <v>7.611111111111111</v>
      </c>
      <c r="G16" s="47">
        <f t="shared" si="0"/>
        <v>7.611111111111111</v>
      </c>
      <c r="H16" s="47">
        <f t="shared" si="1"/>
        <v>0.07611111111111112</v>
      </c>
      <c r="I16" s="80"/>
      <c r="J16" s="87">
        <v>13.691176470588237</v>
      </c>
      <c r="K16" s="47">
        <f t="shared" si="2"/>
        <v>13.691176470588237</v>
      </c>
      <c r="L16" s="47">
        <f t="shared" si="3"/>
        <v>0.13691176470588237</v>
      </c>
      <c r="M16" s="80"/>
      <c r="N16" s="87">
        <v>13.559055118110237</v>
      </c>
      <c r="O16" s="47">
        <f t="shared" si="4"/>
        <v>13.559055118110237</v>
      </c>
      <c r="P16" s="47">
        <f t="shared" si="5"/>
        <v>0.1355905511811024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</row>
    <row r="17" spans="4:38" s="82" customFormat="1" ht="12.75">
      <c r="D17" s="40">
        <v>0</v>
      </c>
      <c r="E17" s="80"/>
      <c r="F17" s="87"/>
      <c r="G17" s="47">
        <f t="shared" si="0"/>
      </c>
      <c r="H17" s="47">
        <f t="shared" si="1"/>
      </c>
      <c r="I17" s="80"/>
      <c r="J17" s="87"/>
      <c r="K17" s="47">
        <f t="shared" si="2"/>
      </c>
      <c r="L17" s="47">
        <f t="shared" si="3"/>
      </c>
      <c r="M17" s="80"/>
      <c r="N17" s="87"/>
      <c r="O17" s="47">
        <f t="shared" si="4"/>
      </c>
      <c r="P17" s="47">
        <f t="shared" si="5"/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</row>
    <row r="18" spans="4:38" s="82" customFormat="1" ht="12.75">
      <c r="D18" s="40">
        <v>0</v>
      </c>
      <c r="E18" s="80"/>
      <c r="F18" s="87"/>
      <c r="G18" s="47">
        <f t="shared" si="0"/>
      </c>
      <c r="H18" s="47">
        <f t="shared" si="1"/>
      </c>
      <c r="I18" s="80"/>
      <c r="J18" s="87"/>
      <c r="K18" s="47">
        <f t="shared" si="2"/>
      </c>
      <c r="L18" s="47">
        <f t="shared" si="3"/>
      </c>
      <c r="M18" s="80"/>
      <c r="N18" s="87"/>
      <c r="O18" s="47">
        <f t="shared" si="4"/>
      </c>
      <c r="P18" s="47">
        <f t="shared" si="5"/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</row>
    <row r="19" spans="1:38" s="82" customFormat="1" ht="12.75">
      <c r="A19" s="82" t="s">
        <v>162</v>
      </c>
      <c r="B19" s="82">
        <v>15</v>
      </c>
      <c r="C19" s="82" t="s">
        <v>212</v>
      </c>
      <c r="D19" s="40">
        <v>0.001</v>
      </c>
      <c r="E19" s="80"/>
      <c r="F19" s="87">
        <v>0.7955555555555556</v>
      </c>
      <c r="G19" s="47">
        <f t="shared" si="0"/>
        <v>0.7955555555555556</v>
      </c>
      <c r="H19" s="47">
        <f t="shared" si="1"/>
        <v>0.0007955555555555555</v>
      </c>
      <c r="I19" s="80"/>
      <c r="J19" s="87">
        <v>1.9558823529411766</v>
      </c>
      <c r="K19" s="47">
        <f t="shared" si="2"/>
        <v>1.9558823529411766</v>
      </c>
      <c r="L19" s="47">
        <f t="shared" si="3"/>
        <v>0.0019558823529411767</v>
      </c>
      <c r="M19" s="80"/>
      <c r="N19" s="87">
        <v>1.6976377952756</v>
      </c>
      <c r="O19" s="47">
        <f t="shared" si="4"/>
        <v>1.6976377952756</v>
      </c>
      <c r="P19" s="47">
        <f t="shared" si="5"/>
        <v>0.0016976377952756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</row>
    <row r="20" spans="1:38" s="82" customFormat="1" ht="12.75">
      <c r="A20" s="82" t="s">
        <v>162</v>
      </c>
      <c r="B20" s="82">
        <v>16</v>
      </c>
      <c r="C20" s="82" t="s">
        <v>213</v>
      </c>
      <c r="D20" s="40">
        <v>0.1</v>
      </c>
      <c r="E20" s="80"/>
      <c r="F20" s="87">
        <v>0.8422222222222223</v>
      </c>
      <c r="G20" s="47">
        <f t="shared" si="0"/>
        <v>0.8422222222222223</v>
      </c>
      <c r="H20" s="47">
        <f t="shared" si="1"/>
        <v>0.08422222222222224</v>
      </c>
      <c r="I20" s="80"/>
      <c r="J20" s="87">
        <v>5.0544117647058835</v>
      </c>
      <c r="K20" s="47">
        <f t="shared" si="2"/>
        <v>5.0544117647058835</v>
      </c>
      <c r="L20" s="47">
        <f t="shared" si="3"/>
        <v>0.5054411764705884</v>
      </c>
      <c r="M20" s="80"/>
      <c r="N20" s="87">
        <v>3.2409448818897637</v>
      </c>
      <c r="O20" s="47">
        <f t="shared" si="4"/>
        <v>3.2409448818897637</v>
      </c>
      <c r="P20" s="47">
        <f t="shared" si="5"/>
        <v>0.3240944881889764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</row>
    <row r="21" spans="4:38" s="82" customFormat="1" ht="12.75">
      <c r="D21" s="40">
        <v>0</v>
      </c>
      <c r="E21" s="80"/>
      <c r="F21" s="87"/>
      <c r="G21" s="47">
        <f t="shared" si="0"/>
      </c>
      <c r="H21" s="47">
        <f t="shared" si="1"/>
      </c>
      <c r="I21" s="80"/>
      <c r="J21" s="87"/>
      <c r="K21" s="47">
        <f t="shared" si="2"/>
      </c>
      <c r="L21" s="47">
        <f t="shared" si="3"/>
      </c>
      <c r="M21" s="80"/>
      <c r="N21" s="87"/>
      <c r="O21" s="47">
        <f t="shared" si="4"/>
      </c>
      <c r="P21" s="47">
        <f t="shared" si="5"/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</row>
    <row r="22" spans="4:38" s="82" customFormat="1" ht="12.75">
      <c r="D22" s="40">
        <v>0</v>
      </c>
      <c r="E22" s="80"/>
      <c r="F22" s="87"/>
      <c r="G22" s="47">
        <f t="shared" si="0"/>
      </c>
      <c r="H22" s="47">
        <f t="shared" si="1"/>
      </c>
      <c r="I22" s="80"/>
      <c r="J22" s="87"/>
      <c r="K22" s="47">
        <f t="shared" si="2"/>
      </c>
      <c r="L22" s="47">
        <f t="shared" si="3"/>
      </c>
      <c r="M22" s="80"/>
      <c r="N22" s="87"/>
      <c r="O22" s="47">
        <f t="shared" si="4"/>
      </c>
      <c r="P22" s="47">
        <f t="shared" si="5"/>
      </c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</row>
    <row r="23" spans="1:38" s="82" customFormat="1" ht="12.75">
      <c r="A23" s="82" t="s">
        <v>162</v>
      </c>
      <c r="B23" s="82">
        <v>19</v>
      </c>
      <c r="C23" s="82" t="s">
        <v>214</v>
      </c>
      <c r="D23" s="40">
        <v>0.05</v>
      </c>
      <c r="E23" s="80"/>
      <c r="F23" s="87">
        <v>0.6044444444444446</v>
      </c>
      <c r="G23" s="47">
        <f t="shared" si="0"/>
        <v>0.6044444444444446</v>
      </c>
      <c r="H23" s="47">
        <f t="shared" si="1"/>
        <v>0.03022222222222223</v>
      </c>
      <c r="I23" s="80"/>
      <c r="J23" s="87">
        <v>3.2632352941176475</v>
      </c>
      <c r="K23" s="47">
        <f t="shared" si="2"/>
        <v>3.2632352941176475</v>
      </c>
      <c r="L23" s="47">
        <f t="shared" si="3"/>
        <v>0.1631617647058824</v>
      </c>
      <c r="M23" s="80"/>
      <c r="N23" s="87">
        <v>1.9511811023622</v>
      </c>
      <c r="O23" s="47">
        <f t="shared" si="4"/>
        <v>1.9511811023622</v>
      </c>
      <c r="P23" s="47">
        <f t="shared" si="5"/>
        <v>0.09755905511811001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</row>
    <row r="24" spans="1:38" s="82" customFormat="1" ht="12.75">
      <c r="A24" s="82" t="s">
        <v>162</v>
      </c>
      <c r="B24" s="82">
        <v>20</v>
      </c>
      <c r="C24" s="82" t="s">
        <v>215</v>
      </c>
      <c r="D24" s="40">
        <v>0.5</v>
      </c>
      <c r="E24" s="80"/>
      <c r="F24" s="87">
        <v>1.6</v>
      </c>
      <c r="G24" s="47">
        <f t="shared" si="0"/>
        <v>1.6</v>
      </c>
      <c r="H24" s="47">
        <f t="shared" si="1"/>
        <v>0.8</v>
      </c>
      <c r="I24" s="80"/>
      <c r="J24" s="87">
        <v>6.557352941176472</v>
      </c>
      <c r="K24" s="47">
        <f t="shared" si="2"/>
        <v>6.557352941176472</v>
      </c>
      <c r="L24" s="47">
        <f t="shared" si="3"/>
        <v>3.278676470588236</v>
      </c>
      <c r="M24" s="80"/>
      <c r="N24" s="87">
        <v>4.651968503937</v>
      </c>
      <c r="O24" s="47">
        <f t="shared" si="4"/>
        <v>4.651968503937</v>
      </c>
      <c r="P24" s="47">
        <f t="shared" si="5"/>
        <v>2.3259842519685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4:38" s="82" customFormat="1" ht="12.75">
      <c r="D25" s="40">
        <v>0</v>
      </c>
      <c r="E25" s="80"/>
      <c r="F25" s="87"/>
      <c r="G25" s="47">
        <f t="shared" si="0"/>
      </c>
      <c r="H25" s="47">
        <f t="shared" si="1"/>
      </c>
      <c r="I25" s="80"/>
      <c r="J25" s="87"/>
      <c r="K25" s="47">
        <f t="shared" si="2"/>
      </c>
      <c r="L25" s="47">
        <f t="shared" si="3"/>
      </c>
      <c r="M25" s="80"/>
      <c r="N25" s="87"/>
      <c r="O25" s="47">
        <f t="shared" si="4"/>
      </c>
      <c r="P25" s="47">
        <f t="shared" si="5"/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4:38" s="82" customFormat="1" ht="12.75">
      <c r="D26" s="40">
        <v>0</v>
      </c>
      <c r="E26" s="80"/>
      <c r="F26" s="87"/>
      <c r="G26" s="47">
        <f t="shared" si="0"/>
      </c>
      <c r="H26" s="47">
        <f t="shared" si="1"/>
      </c>
      <c r="I26" s="80"/>
      <c r="J26" s="87"/>
      <c r="K26" s="47">
        <f t="shared" si="2"/>
      </c>
      <c r="L26" s="47">
        <f t="shared" si="3"/>
      </c>
      <c r="M26" s="80"/>
      <c r="N26" s="87"/>
      <c r="O26" s="47">
        <f t="shared" si="4"/>
      </c>
      <c r="P26" s="47">
        <f t="shared" si="5"/>
      </c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</row>
    <row r="27" spans="1:38" s="82" customFormat="1" ht="12.75">
      <c r="A27" s="82" t="s">
        <v>162</v>
      </c>
      <c r="B27" s="82">
        <v>23</v>
      </c>
      <c r="C27" s="82" t="s">
        <v>216</v>
      </c>
      <c r="D27" s="40">
        <v>0.1</v>
      </c>
      <c r="E27" s="80"/>
      <c r="F27" s="87">
        <v>1.101111111111111</v>
      </c>
      <c r="G27" s="47">
        <f t="shared" si="0"/>
        <v>1.101111111111111</v>
      </c>
      <c r="H27" s="47">
        <f t="shared" si="1"/>
        <v>0.1101111111111111</v>
      </c>
      <c r="I27" s="80"/>
      <c r="J27" s="87">
        <v>6.052941176470589</v>
      </c>
      <c r="K27" s="47">
        <f t="shared" si="2"/>
        <v>6.052941176470589</v>
      </c>
      <c r="L27" s="47">
        <f t="shared" si="3"/>
        <v>0.605294117647059</v>
      </c>
      <c r="M27" s="80"/>
      <c r="N27" s="87">
        <v>4.464566929133858</v>
      </c>
      <c r="O27" s="47">
        <f t="shared" si="4"/>
        <v>4.464566929133858</v>
      </c>
      <c r="P27" s="47">
        <f t="shared" si="5"/>
        <v>0.44645669291338586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</row>
    <row r="28" spans="1:38" s="82" customFormat="1" ht="12.75">
      <c r="A28" s="82" t="s">
        <v>162</v>
      </c>
      <c r="B28" s="82">
        <v>24</v>
      </c>
      <c r="C28" s="82" t="s">
        <v>217</v>
      </c>
      <c r="D28" s="40">
        <v>0.1</v>
      </c>
      <c r="E28" s="80"/>
      <c r="F28" s="87">
        <v>0.6288888888888888</v>
      </c>
      <c r="G28" s="47">
        <f t="shared" si="0"/>
        <v>0.6288888888888888</v>
      </c>
      <c r="H28" s="47">
        <f t="shared" si="1"/>
        <v>0.06288888888888888</v>
      </c>
      <c r="I28" s="80"/>
      <c r="J28" s="87">
        <v>3.0161764705882357</v>
      </c>
      <c r="K28" s="47">
        <f t="shared" si="2"/>
        <v>3.0161764705882357</v>
      </c>
      <c r="L28" s="47">
        <f t="shared" si="3"/>
        <v>0.3016176470588236</v>
      </c>
      <c r="M28" s="80"/>
      <c r="N28" s="87">
        <v>2.193700787401575</v>
      </c>
      <c r="O28" s="47">
        <f t="shared" si="4"/>
        <v>2.193700787401575</v>
      </c>
      <c r="P28" s="47">
        <f t="shared" si="5"/>
        <v>0.2193700787401575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</row>
    <row r="29" spans="1:38" s="82" customFormat="1" ht="12.75">
      <c r="A29" s="82" t="s">
        <v>162</v>
      </c>
      <c r="B29" s="82">
        <v>25</v>
      </c>
      <c r="C29" s="82" t="s">
        <v>218</v>
      </c>
      <c r="D29" s="40">
        <v>0.1</v>
      </c>
      <c r="E29" s="80"/>
      <c r="F29" s="87">
        <v>0.12333333333333334</v>
      </c>
      <c r="G29" s="47">
        <f t="shared" si="0"/>
        <v>0.12333333333333334</v>
      </c>
      <c r="H29" s="47">
        <f t="shared" si="1"/>
        <v>0.012333333333333335</v>
      </c>
      <c r="I29" s="80"/>
      <c r="J29" s="87">
        <v>0.98</v>
      </c>
      <c r="K29" s="47">
        <f t="shared" si="2"/>
        <v>0.98</v>
      </c>
      <c r="L29" s="47">
        <f t="shared" si="3"/>
        <v>0.098</v>
      </c>
      <c r="M29" s="80"/>
      <c r="N29" s="87">
        <v>0.6988976377952756</v>
      </c>
      <c r="O29" s="47">
        <f t="shared" si="4"/>
        <v>0.6988976377952756</v>
      </c>
      <c r="P29" s="47">
        <f t="shared" si="5"/>
        <v>0.06988976377952756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</row>
    <row r="30" spans="1:38" s="82" customFormat="1" ht="12.75">
      <c r="A30" s="82" t="s">
        <v>162</v>
      </c>
      <c r="B30" s="82">
        <v>26</v>
      </c>
      <c r="C30" s="82" t="s">
        <v>219</v>
      </c>
      <c r="D30" s="40">
        <v>0.1</v>
      </c>
      <c r="E30" s="80"/>
      <c r="F30" s="87">
        <v>1.0711111111111111</v>
      </c>
      <c r="G30" s="47">
        <f t="shared" si="0"/>
        <v>1.0711111111111111</v>
      </c>
      <c r="H30" s="47">
        <f t="shared" si="1"/>
        <v>0.10711111111111112</v>
      </c>
      <c r="I30" s="80"/>
      <c r="J30" s="87">
        <v>4.488235294117648</v>
      </c>
      <c r="K30" s="47">
        <f t="shared" si="2"/>
        <v>4.488235294117648</v>
      </c>
      <c r="L30" s="47">
        <f t="shared" si="3"/>
        <v>0.44882352941176484</v>
      </c>
      <c r="M30" s="80"/>
      <c r="N30" s="87">
        <v>2.8</v>
      </c>
      <c r="O30" s="47">
        <f t="shared" si="4"/>
        <v>2.8</v>
      </c>
      <c r="P30" s="47">
        <f t="shared" si="5"/>
        <v>0.27999999999999997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4:38" s="82" customFormat="1" ht="12.75">
      <c r="D31" s="40">
        <v>0</v>
      </c>
      <c r="E31" s="80"/>
      <c r="F31" s="87"/>
      <c r="G31" s="47">
        <f t="shared" si="0"/>
      </c>
      <c r="H31" s="47">
        <f t="shared" si="1"/>
      </c>
      <c r="I31" s="80"/>
      <c r="J31" s="87"/>
      <c r="K31" s="47">
        <f t="shared" si="2"/>
      </c>
      <c r="L31" s="47">
        <f t="shared" si="3"/>
      </c>
      <c r="M31" s="80"/>
      <c r="N31" s="87"/>
      <c r="O31" s="47">
        <f t="shared" si="4"/>
      </c>
      <c r="P31" s="47">
        <f t="shared" si="5"/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4:38" s="82" customFormat="1" ht="12.75">
      <c r="D32" s="40">
        <v>0</v>
      </c>
      <c r="E32" s="80"/>
      <c r="F32" s="87"/>
      <c r="G32" s="47">
        <f t="shared" si="0"/>
      </c>
      <c r="H32" s="47">
        <f t="shared" si="1"/>
      </c>
      <c r="I32" s="80"/>
      <c r="J32" s="87"/>
      <c r="K32" s="47">
        <f t="shared" si="2"/>
      </c>
      <c r="L32" s="47">
        <f t="shared" si="3"/>
      </c>
      <c r="M32" s="80"/>
      <c r="N32" s="87"/>
      <c r="O32" s="47">
        <f t="shared" si="4"/>
      </c>
      <c r="P32" s="47">
        <f t="shared" si="5"/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1:38" s="82" customFormat="1" ht="12.75">
      <c r="A33" s="82" t="s">
        <v>162</v>
      </c>
      <c r="B33" s="82">
        <v>29</v>
      </c>
      <c r="C33" s="82" t="s">
        <v>220</v>
      </c>
      <c r="D33" s="40">
        <v>0.01</v>
      </c>
      <c r="E33" s="80"/>
      <c r="F33" s="87">
        <v>0.5066666666666667</v>
      </c>
      <c r="G33" s="47">
        <f t="shared" si="0"/>
        <v>0.5066666666666667</v>
      </c>
      <c r="H33" s="47">
        <f t="shared" si="1"/>
        <v>0.005066666666666667</v>
      </c>
      <c r="I33" s="80"/>
      <c r="J33" s="87">
        <v>2.8205882352941183</v>
      </c>
      <c r="K33" s="47">
        <f t="shared" si="2"/>
        <v>2.8205882352941183</v>
      </c>
      <c r="L33" s="47">
        <f t="shared" si="3"/>
        <v>0.028205882352941185</v>
      </c>
      <c r="M33" s="80"/>
      <c r="N33" s="87">
        <v>2.0834645669291336</v>
      </c>
      <c r="O33" s="47">
        <f t="shared" si="4"/>
        <v>2.0834645669291336</v>
      </c>
      <c r="P33" s="47">
        <f t="shared" si="5"/>
        <v>0.020834645669291336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s="82" customFormat="1" ht="12.75">
      <c r="A34" s="82" t="s">
        <v>162</v>
      </c>
      <c r="B34" s="82">
        <v>30</v>
      </c>
      <c r="C34" s="82" t="s">
        <v>221</v>
      </c>
      <c r="D34" s="40">
        <v>0.01</v>
      </c>
      <c r="E34" s="80"/>
      <c r="F34" s="87">
        <v>0.15666666666666665</v>
      </c>
      <c r="G34" s="47">
        <f t="shared" si="0"/>
        <v>0.15666666666666665</v>
      </c>
      <c r="H34" s="47">
        <f t="shared" si="1"/>
        <v>0.0015666666666666665</v>
      </c>
      <c r="I34" s="80"/>
      <c r="J34" s="87">
        <v>0.7020588235294118</v>
      </c>
      <c r="K34" s="47">
        <f t="shared" si="2"/>
        <v>0.7020588235294118</v>
      </c>
      <c r="L34" s="47">
        <f t="shared" si="3"/>
        <v>0.007020588235294119</v>
      </c>
      <c r="M34" s="80"/>
      <c r="N34" s="87">
        <v>0.6051968503937</v>
      </c>
      <c r="O34" s="47">
        <f t="shared" si="4"/>
        <v>0.6051968503937</v>
      </c>
      <c r="P34" s="47">
        <f t="shared" si="5"/>
        <v>0.006051968503937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4:38" s="82" customFormat="1" ht="12.75">
      <c r="D35" s="40">
        <v>0</v>
      </c>
      <c r="E35" s="80"/>
      <c r="F35" s="87"/>
      <c r="G35" s="47">
        <f t="shared" si="0"/>
      </c>
      <c r="H35" s="47">
        <f t="shared" si="1"/>
      </c>
      <c r="I35" s="80"/>
      <c r="J35" s="87"/>
      <c r="K35" s="47">
        <f t="shared" si="2"/>
      </c>
      <c r="L35" s="47">
        <f t="shared" si="3"/>
      </c>
      <c r="M35" s="80"/>
      <c r="N35" s="87"/>
      <c r="O35" s="47">
        <f t="shared" si="4"/>
      </c>
      <c r="P35" s="47">
        <f t="shared" si="5"/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4:38" s="82" customFormat="1" ht="12.75">
      <c r="D36" s="40">
        <v>0</v>
      </c>
      <c r="E36" s="80"/>
      <c r="F36" s="87"/>
      <c r="G36" s="47">
        <f t="shared" si="0"/>
      </c>
      <c r="H36" s="47">
        <f t="shared" si="1"/>
      </c>
      <c r="I36" s="80"/>
      <c r="J36" s="87"/>
      <c r="K36" s="47">
        <f t="shared" si="2"/>
      </c>
      <c r="L36" s="47">
        <f t="shared" si="3"/>
      </c>
      <c r="M36" s="80"/>
      <c r="N36" s="87"/>
      <c r="O36" s="47">
        <f t="shared" si="4"/>
      </c>
      <c r="P36" s="47">
        <f t="shared" si="5"/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s="82" customFormat="1" ht="12.75">
      <c r="A37" s="82" t="s">
        <v>162</v>
      </c>
      <c r="B37" s="82">
        <v>33</v>
      </c>
      <c r="C37" s="82" t="s">
        <v>222</v>
      </c>
      <c r="D37" s="40">
        <v>0.001</v>
      </c>
      <c r="E37" s="80"/>
      <c r="F37" s="87">
        <v>0.059</v>
      </c>
      <c r="G37" s="47">
        <f t="shared" si="0"/>
        <v>0.059</v>
      </c>
      <c r="H37" s="47">
        <f t="shared" si="1"/>
        <v>5.9E-05</v>
      </c>
      <c r="I37" s="80"/>
      <c r="J37" s="87">
        <v>0.394264705882353</v>
      </c>
      <c r="K37" s="47">
        <f t="shared" si="2"/>
        <v>0.394264705882353</v>
      </c>
      <c r="L37" s="47">
        <f t="shared" si="3"/>
        <v>0.000394264705882353</v>
      </c>
      <c r="M37" s="80"/>
      <c r="N37" s="87">
        <v>0.35496062992126</v>
      </c>
      <c r="O37" s="47">
        <f t="shared" si="4"/>
        <v>0.35496062992126</v>
      </c>
      <c r="P37" s="47">
        <f t="shared" si="5"/>
        <v>0.00035496062992126</v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s="82" customFormat="1" ht="12.75">
      <c r="A38" s="82" t="s">
        <v>162</v>
      </c>
      <c r="B38" s="82">
        <v>34</v>
      </c>
      <c r="C38" s="82" t="s">
        <v>223</v>
      </c>
      <c r="D38" s="80"/>
      <c r="E38" s="80"/>
      <c r="F38" s="87"/>
      <c r="G38" s="87"/>
      <c r="H38" s="87"/>
      <c r="I38" s="80"/>
      <c r="J38" s="87"/>
      <c r="K38" s="87"/>
      <c r="L38" s="87"/>
      <c r="M38" s="80"/>
      <c r="N38" s="87"/>
      <c r="O38" s="87"/>
      <c r="P38" s="87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s="82" customFormat="1" ht="12.75">
      <c r="A39" s="82" t="s">
        <v>162</v>
      </c>
      <c r="B39" s="82">
        <v>35</v>
      </c>
      <c r="C39" s="82" t="s">
        <v>26</v>
      </c>
      <c r="D39" s="80"/>
      <c r="E39" s="80">
        <v>0</v>
      </c>
      <c r="F39" s="87">
        <v>1.9447101111111111</v>
      </c>
      <c r="G39" s="87"/>
      <c r="H39" s="87">
        <f>SUM(H5:H37)</f>
        <v>1.8335990000000004</v>
      </c>
      <c r="I39" s="80">
        <f>(J39-L39)*2/J39*100</f>
        <v>9.19360119964369</v>
      </c>
      <c r="J39" s="87">
        <v>7.636385441176474</v>
      </c>
      <c r="K39" s="87"/>
      <c r="L39" s="87">
        <f>SUM(L5:L37)</f>
        <v>7.285356029411766</v>
      </c>
      <c r="M39" s="80">
        <f>(N39-P39)*2/N39*100</f>
        <v>10.271239427707192</v>
      </c>
      <c r="N39" s="87">
        <v>5.602372283464567</v>
      </c>
      <c r="O39" s="87"/>
      <c r="P39" s="87">
        <f>SUM(P5:P37)</f>
        <v>5.314655748031491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</sheetData>
  <printOptions headings="1" horizontalCentered="1" vertic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1">
      <selection activeCell="C6" sqref="C6"/>
    </sheetView>
  </sheetViews>
  <sheetFormatPr defaultColWidth="9.140625" defaultRowHeight="12.75"/>
  <cols>
    <col min="1" max="1" width="4.7109375" style="0" hidden="1" customWidth="1"/>
    <col min="2" max="2" width="5.140625" style="0" hidden="1" customWidth="1"/>
    <col min="3" max="3" width="12.140625" style="0" customWidth="1"/>
    <col min="5" max="5" width="3.28125" style="0" customWidth="1"/>
    <col min="6" max="8" width="9.140625" style="114" customWidth="1"/>
    <col min="9" max="9" width="3.28125" style="0" customWidth="1"/>
    <col min="10" max="12" width="9.140625" style="114" customWidth="1"/>
    <col min="13" max="13" width="3.57421875" style="0" customWidth="1"/>
    <col min="14" max="16" width="9.140625" style="114" customWidth="1"/>
  </cols>
  <sheetData>
    <row r="1" spans="3:16" ht="12.75">
      <c r="C1" s="11" t="s">
        <v>180</v>
      </c>
      <c r="D1" s="40" t="s">
        <v>22</v>
      </c>
      <c r="F1" s="112" t="s">
        <v>188</v>
      </c>
      <c r="G1" s="112"/>
      <c r="H1" s="112"/>
      <c r="J1" s="112" t="s">
        <v>189</v>
      </c>
      <c r="K1" s="112"/>
      <c r="L1" s="112"/>
      <c r="N1" s="112" t="s">
        <v>190</v>
      </c>
      <c r="O1" s="112"/>
      <c r="P1" s="112"/>
    </row>
    <row r="2" spans="4:16" ht="12.75">
      <c r="D2" s="40" t="s">
        <v>23</v>
      </c>
      <c r="F2" s="113" t="s">
        <v>24</v>
      </c>
      <c r="G2" s="49" t="s">
        <v>24</v>
      </c>
      <c r="H2" s="49" t="s">
        <v>25</v>
      </c>
      <c r="J2" s="113" t="s">
        <v>24</v>
      </c>
      <c r="K2" s="49" t="s">
        <v>24</v>
      </c>
      <c r="L2" s="49" t="s">
        <v>25</v>
      </c>
      <c r="N2" s="113" t="s">
        <v>24</v>
      </c>
      <c r="O2" s="49" t="s">
        <v>24</v>
      </c>
      <c r="P2" s="49" t="s">
        <v>25</v>
      </c>
    </row>
    <row r="3" spans="3:16" ht="12.75">
      <c r="C3" t="s">
        <v>62</v>
      </c>
      <c r="D3" s="40"/>
      <c r="F3" s="113" t="s">
        <v>205</v>
      </c>
      <c r="G3" s="49" t="s">
        <v>65</v>
      </c>
      <c r="H3" s="49" t="s">
        <v>65</v>
      </c>
      <c r="J3" s="113" t="s">
        <v>205</v>
      </c>
      <c r="K3" s="49" t="s">
        <v>65</v>
      </c>
      <c r="L3" s="49" t="s">
        <v>65</v>
      </c>
      <c r="N3" s="113" t="s">
        <v>205</v>
      </c>
      <c r="O3" s="49" t="s">
        <v>65</v>
      </c>
      <c r="P3" s="49" t="s">
        <v>65</v>
      </c>
    </row>
    <row r="4" spans="4:16" ht="12.75">
      <c r="D4" s="38"/>
      <c r="G4" s="47"/>
      <c r="H4" s="47"/>
      <c r="K4" s="47"/>
      <c r="L4" s="47"/>
      <c r="O4" s="47"/>
      <c r="P4" s="47"/>
    </row>
    <row r="5" spans="1:38" s="82" customFormat="1" ht="12.75">
      <c r="A5" s="82" t="s">
        <v>180</v>
      </c>
      <c r="B5" s="82">
        <v>1</v>
      </c>
      <c r="C5" s="82" t="s">
        <v>206</v>
      </c>
      <c r="D5" s="40"/>
      <c r="E5" s="80"/>
      <c r="F5" s="87">
        <v>0.09381253043094069</v>
      </c>
      <c r="G5" s="47">
        <f>IF(F5=0,"",IF(E5=1,F5/2,F5))</f>
        <v>0.09381253043094069</v>
      </c>
      <c r="H5" s="47">
        <f>IF(G5="","",G5*$D5)</f>
        <v>0</v>
      </c>
      <c r="I5" s="80"/>
      <c r="J5" s="87">
        <v>0.08810122758570513</v>
      </c>
      <c r="K5" s="47">
        <f>IF(J5=0,"",IF(I5=1,J5/2,J5))</f>
        <v>0.08810122758570513</v>
      </c>
      <c r="L5" s="47">
        <f>IF(K5="","",K5*$D5)</f>
        <v>0</v>
      </c>
      <c r="M5" s="80"/>
      <c r="N5" s="87">
        <v>0.08587103166482228</v>
      </c>
      <c r="O5" s="47">
        <f>IF(N5=0,"",IF(M5=1,N5/2,N5))</f>
        <v>0.08587103166482228</v>
      </c>
      <c r="P5" s="47">
        <f>IF(O5="","",O5*$D5)</f>
        <v>0</v>
      </c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38" s="82" customFormat="1" ht="12.75">
      <c r="A6" s="82" t="s">
        <v>180</v>
      </c>
      <c r="B6" s="82">
        <v>2</v>
      </c>
      <c r="C6" s="82" t="s">
        <v>224</v>
      </c>
      <c r="D6" s="40">
        <v>0</v>
      </c>
      <c r="E6" s="80"/>
      <c r="F6" s="87">
        <v>6.8931653336168885</v>
      </c>
      <c r="G6" s="47">
        <f aca="true" t="shared" si="0" ref="G6:G37">IF(F6=0,"",IF(E6=1,F6/2,F6))</f>
        <v>6.8931653336168885</v>
      </c>
      <c r="H6" s="47">
        <f aca="true" t="shared" si="1" ref="H6:H37">IF(G6="","",G6*$D6)</f>
        <v>0</v>
      </c>
      <c r="I6" s="80"/>
      <c r="J6" s="87">
        <v>6.9489436887249</v>
      </c>
      <c r="K6" s="47">
        <f aca="true" t="shared" si="2" ref="K6:K37">IF(J6=0,"",IF(I6=1,J6/2,J6))</f>
        <v>6.9489436887249</v>
      </c>
      <c r="L6" s="47">
        <f aca="true" t="shared" si="3" ref="L6:L37">IF(K6="","",K6*$D6)</f>
        <v>0</v>
      </c>
      <c r="M6" s="80"/>
      <c r="N6" s="87">
        <v>7.366462353409679</v>
      </c>
      <c r="O6" s="47">
        <f aca="true" t="shared" si="4" ref="O6:O37">IF(N6=0,"",IF(M6=1,N6/2,N6))</f>
        <v>7.366462353409679</v>
      </c>
      <c r="P6" s="47">
        <f aca="true" t="shared" si="5" ref="P6:P37">IF(O6="","",O6*$D6)</f>
        <v>0</v>
      </c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s="82" customFormat="1" ht="12.75">
      <c r="A7" s="82" t="s">
        <v>180</v>
      </c>
      <c r="B7" s="82">
        <v>3</v>
      </c>
      <c r="C7" s="82" t="s">
        <v>225</v>
      </c>
      <c r="D7" s="40">
        <v>0</v>
      </c>
      <c r="E7" s="80"/>
      <c r="F7" s="87">
        <v>6.986977864047829</v>
      </c>
      <c r="G7" s="47">
        <f t="shared" si="0"/>
        <v>6.986977864047829</v>
      </c>
      <c r="H7" s="47">
        <f t="shared" si="1"/>
        <v>0</v>
      </c>
      <c r="I7" s="80"/>
      <c r="J7" s="87">
        <v>7.0370449163106</v>
      </c>
      <c r="K7" s="47">
        <f t="shared" si="2"/>
        <v>7.0370449163106</v>
      </c>
      <c r="L7" s="47">
        <f t="shared" si="3"/>
        <v>0</v>
      </c>
      <c r="M7" s="80"/>
      <c r="N7" s="87">
        <v>7.4523333850745</v>
      </c>
      <c r="O7" s="47">
        <f t="shared" si="4"/>
        <v>7.4523333850745</v>
      </c>
      <c r="P7" s="47">
        <f t="shared" si="5"/>
        <v>0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1:38" s="82" customFormat="1" ht="12.75">
      <c r="A8" s="82" t="s">
        <v>180</v>
      </c>
      <c r="B8" s="82">
        <v>4</v>
      </c>
      <c r="C8" s="82" t="s">
        <v>207</v>
      </c>
      <c r="D8" s="40">
        <v>0.5</v>
      </c>
      <c r="E8" s="80"/>
      <c r="F8" s="87">
        <v>0.08895371411380035</v>
      </c>
      <c r="G8" s="47">
        <f t="shared" si="0"/>
        <v>0.08895371411380035</v>
      </c>
      <c r="H8" s="47">
        <f t="shared" si="1"/>
        <v>0.044476857056900174</v>
      </c>
      <c r="I8" s="80"/>
      <c r="J8" s="87">
        <v>0.09102709861253666</v>
      </c>
      <c r="K8" s="47">
        <f t="shared" si="2"/>
        <v>0.09102709861253666</v>
      </c>
      <c r="L8" s="47">
        <f t="shared" si="3"/>
        <v>0.04551354930626833</v>
      </c>
      <c r="M8" s="80"/>
      <c r="N8" s="87">
        <v>0.10463544228787602</v>
      </c>
      <c r="O8" s="47">
        <f t="shared" si="4"/>
        <v>0.10463544228787602</v>
      </c>
      <c r="P8" s="47">
        <f t="shared" si="5"/>
        <v>0.05231772114393801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</row>
    <row r="9" spans="1:38" s="82" customFormat="1" ht="12.75">
      <c r="A9" s="82" t="s">
        <v>180</v>
      </c>
      <c r="B9" s="82">
        <v>5</v>
      </c>
      <c r="C9" s="82" t="s">
        <v>226</v>
      </c>
      <c r="D9" s="40">
        <v>0</v>
      </c>
      <c r="E9" s="80"/>
      <c r="F9" s="87">
        <v>0.7721780393239976</v>
      </c>
      <c r="G9" s="47">
        <f t="shared" si="0"/>
        <v>0.7721780393239976</v>
      </c>
      <c r="H9" s="47">
        <f t="shared" si="1"/>
        <v>0</v>
      </c>
      <c r="I9" s="80"/>
      <c r="J9" s="87">
        <v>1.1966812499741</v>
      </c>
      <c r="K9" s="47">
        <f t="shared" si="2"/>
        <v>1.1966812499741</v>
      </c>
      <c r="L9" s="47">
        <f t="shared" si="3"/>
        <v>0</v>
      </c>
      <c r="M9" s="80"/>
      <c r="N9" s="87">
        <v>1.033314747700028</v>
      </c>
      <c r="O9" s="47">
        <f t="shared" si="4"/>
        <v>1.033314747700028</v>
      </c>
      <c r="P9" s="47">
        <f t="shared" si="5"/>
        <v>0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1:38" s="82" customFormat="1" ht="12.75">
      <c r="A10" s="82" t="s">
        <v>180</v>
      </c>
      <c r="B10" s="82">
        <v>5</v>
      </c>
      <c r="C10" s="82" t="s">
        <v>227</v>
      </c>
      <c r="D10" s="40">
        <v>0</v>
      </c>
      <c r="E10" s="80"/>
      <c r="F10" s="87">
        <v>0.861131753437798</v>
      </c>
      <c r="G10" s="47">
        <f t="shared" si="0"/>
        <v>0.861131753437798</v>
      </c>
      <c r="H10" s="47">
        <f t="shared" si="1"/>
        <v>0</v>
      </c>
      <c r="I10" s="80"/>
      <c r="J10" s="87">
        <v>1.2877083485866345</v>
      </c>
      <c r="K10" s="47">
        <f t="shared" si="2"/>
        <v>1.2877083485866345</v>
      </c>
      <c r="L10" s="47">
        <f t="shared" si="3"/>
        <v>0</v>
      </c>
      <c r="M10" s="80"/>
      <c r="N10" s="87">
        <v>1.1379501899879</v>
      </c>
      <c r="O10" s="47">
        <f t="shared" si="4"/>
        <v>1.1379501899879</v>
      </c>
      <c r="P10" s="47">
        <f t="shared" si="5"/>
        <v>0</v>
      </c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</row>
    <row r="11" spans="1:38" s="82" customFormat="1" ht="12.75">
      <c r="A11" s="82" t="s">
        <v>180</v>
      </c>
      <c r="B11" s="82">
        <v>7</v>
      </c>
      <c r="C11" s="82" t="s">
        <v>208</v>
      </c>
      <c r="D11" s="40">
        <v>0.1</v>
      </c>
      <c r="E11" s="80"/>
      <c r="F11" s="87">
        <v>0.07138722435183135</v>
      </c>
      <c r="G11" s="47">
        <f t="shared" si="0"/>
        <v>0.07138722435183135</v>
      </c>
      <c r="H11" s="47">
        <f t="shared" si="1"/>
        <v>0.007138722435183136</v>
      </c>
      <c r="I11" s="80"/>
      <c r="J11" s="87">
        <v>0.07444716279382463</v>
      </c>
      <c r="K11" s="47">
        <f t="shared" si="2"/>
        <v>0.07444716279382463</v>
      </c>
      <c r="L11" s="47">
        <f t="shared" si="3"/>
        <v>0.007444716279382463</v>
      </c>
      <c r="M11" s="80"/>
      <c r="N11" s="87">
        <v>0.095412257405358</v>
      </c>
      <c r="O11" s="47">
        <f t="shared" si="4"/>
        <v>0.095412257405358</v>
      </c>
      <c r="P11" s="47">
        <f t="shared" si="5"/>
        <v>0.0095412257405358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</row>
    <row r="12" spans="1:38" s="82" customFormat="1" ht="12.75">
      <c r="A12" s="82" t="s">
        <v>180</v>
      </c>
      <c r="B12" s="82">
        <v>8</v>
      </c>
      <c r="C12" s="82" t="s">
        <v>209</v>
      </c>
      <c r="D12" s="40">
        <v>0.1</v>
      </c>
      <c r="E12" s="80"/>
      <c r="F12" s="87">
        <v>0.1057726936731323</v>
      </c>
      <c r="G12" s="47">
        <f t="shared" si="0"/>
        <v>0.1057726936731323</v>
      </c>
      <c r="H12" s="47">
        <f t="shared" si="1"/>
        <v>0.01057726936731323</v>
      </c>
      <c r="I12" s="80"/>
      <c r="J12" s="87">
        <v>0.12418697024996</v>
      </c>
      <c r="K12" s="47">
        <f t="shared" si="2"/>
        <v>0.12418697024996</v>
      </c>
      <c r="L12" s="47">
        <f t="shared" si="3"/>
        <v>0.012418697024996001</v>
      </c>
      <c r="M12" s="80"/>
      <c r="N12" s="87">
        <v>0.1672894913173945</v>
      </c>
      <c r="O12" s="47">
        <f t="shared" si="4"/>
        <v>0.1672894913173945</v>
      </c>
      <c r="P12" s="47">
        <f t="shared" si="5"/>
        <v>0.016728949131739453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38" s="82" customFormat="1" ht="12.75">
      <c r="A13" s="82" t="s">
        <v>180</v>
      </c>
      <c r="B13" s="82">
        <v>9</v>
      </c>
      <c r="C13" s="82" t="s">
        <v>210</v>
      </c>
      <c r="D13" s="40">
        <v>0.1</v>
      </c>
      <c r="E13" s="80">
        <v>1</v>
      </c>
      <c r="F13" s="87">
        <v>0.09530755083621463</v>
      </c>
      <c r="G13" s="47">
        <f t="shared" si="0"/>
        <v>0.047653775418107315</v>
      </c>
      <c r="H13" s="47">
        <f t="shared" si="1"/>
        <v>0.004765377541810732</v>
      </c>
      <c r="I13" s="80">
        <v>1</v>
      </c>
      <c r="J13" s="87">
        <v>0.0786734209436924</v>
      </c>
      <c r="K13" s="47">
        <f t="shared" si="2"/>
        <v>0.0393367104718462</v>
      </c>
      <c r="L13" s="47">
        <f t="shared" si="3"/>
        <v>0.00393367104718462</v>
      </c>
      <c r="M13" s="80">
        <v>1</v>
      </c>
      <c r="N13" s="87">
        <v>0.13071479264534</v>
      </c>
      <c r="O13" s="47">
        <f t="shared" si="4"/>
        <v>0.06535739632267</v>
      </c>
      <c r="P13" s="47">
        <f t="shared" si="5"/>
        <v>0.0065357396322670005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</row>
    <row r="14" spans="1:38" s="82" customFormat="1" ht="12.75">
      <c r="A14" s="82" t="s">
        <v>180</v>
      </c>
      <c r="B14" s="82">
        <v>10</v>
      </c>
      <c r="C14" s="82" t="s">
        <v>228</v>
      </c>
      <c r="D14" s="40">
        <v>0</v>
      </c>
      <c r="E14" s="80"/>
      <c r="F14" s="87">
        <v>3.709519380586</v>
      </c>
      <c r="G14" s="47">
        <f t="shared" si="0"/>
        <v>3.709519380586</v>
      </c>
      <c r="H14" s="47">
        <f t="shared" si="1"/>
        <v>0</v>
      </c>
      <c r="I14" s="80"/>
      <c r="J14" s="87">
        <v>4.467479961191</v>
      </c>
      <c r="K14" s="47">
        <f t="shared" si="2"/>
        <v>4.467479961191</v>
      </c>
      <c r="L14" s="47">
        <f t="shared" si="3"/>
        <v>0</v>
      </c>
      <c r="M14" s="80"/>
      <c r="N14" s="87">
        <v>3.8816886721079835</v>
      </c>
      <c r="O14" s="47">
        <f t="shared" si="4"/>
        <v>3.8816886721079835</v>
      </c>
      <c r="P14" s="47">
        <f t="shared" si="5"/>
        <v>0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</row>
    <row r="15" spans="1:38" s="82" customFormat="1" ht="12.75">
      <c r="A15" s="82" t="s">
        <v>180</v>
      </c>
      <c r="B15" s="82">
        <v>11</v>
      </c>
      <c r="C15" s="82" t="s">
        <v>229</v>
      </c>
      <c r="D15" s="40">
        <v>0</v>
      </c>
      <c r="E15" s="80"/>
      <c r="F15" s="87">
        <v>3.9819868494471797</v>
      </c>
      <c r="G15" s="47">
        <f t="shared" si="0"/>
        <v>3.9819868494471797</v>
      </c>
      <c r="H15" s="47">
        <f t="shared" si="1"/>
        <v>0</v>
      </c>
      <c r="I15" s="80"/>
      <c r="J15" s="87">
        <v>4.744787515178473</v>
      </c>
      <c r="K15" s="47">
        <f t="shared" si="2"/>
        <v>4.744787515178473</v>
      </c>
      <c r="L15" s="47">
        <f t="shared" si="3"/>
        <v>0</v>
      </c>
      <c r="M15" s="80"/>
      <c r="N15" s="87">
        <v>4.275105213476077</v>
      </c>
      <c r="O15" s="47">
        <f t="shared" si="4"/>
        <v>4.275105213476077</v>
      </c>
      <c r="P15" s="47">
        <f t="shared" si="5"/>
        <v>0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</row>
    <row r="16" spans="1:38" s="82" customFormat="1" ht="12.75">
      <c r="A16" s="82" t="s">
        <v>180</v>
      </c>
      <c r="B16" s="82">
        <v>12</v>
      </c>
      <c r="C16" s="82" t="s">
        <v>211</v>
      </c>
      <c r="D16" s="40">
        <v>0.01</v>
      </c>
      <c r="E16" s="80"/>
      <c r="F16" s="87">
        <v>0.11885412221928</v>
      </c>
      <c r="G16" s="47">
        <f t="shared" si="0"/>
        <v>0.11885412221928</v>
      </c>
      <c r="H16" s="47">
        <f t="shared" si="1"/>
        <v>0.0011885412221928</v>
      </c>
      <c r="I16" s="80"/>
      <c r="J16" s="87">
        <v>0.54941355948281</v>
      </c>
      <c r="K16" s="47">
        <f t="shared" si="2"/>
        <v>0.54941355948281</v>
      </c>
      <c r="L16" s="47">
        <f t="shared" si="3"/>
        <v>0.0054941355948281</v>
      </c>
      <c r="M16" s="80"/>
      <c r="N16" s="87">
        <v>0.48533034933525476</v>
      </c>
      <c r="O16" s="47">
        <f t="shared" si="4"/>
        <v>0.48533034933525476</v>
      </c>
      <c r="P16" s="47">
        <f t="shared" si="5"/>
        <v>0.004853303493352548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</row>
    <row r="17" spans="1:38" s="82" customFormat="1" ht="12.75">
      <c r="A17" s="82" t="s">
        <v>180</v>
      </c>
      <c r="B17" s="82">
        <v>13</v>
      </c>
      <c r="C17" s="82" t="s">
        <v>230</v>
      </c>
      <c r="D17" s="40">
        <v>0</v>
      </c>
      <c r="E17" s="80"/>
      <c r="F17" s="87">
        <v>0.06989220394655739</v>
      </c>
      <c r="G17" s="47">
        <f t="shared" si="0"/>
        <v>0.06989220394655739</v>
      </c>
      <c r="H17" s="47">
        <f t="shared" si="1"/>
        <v>0</v>
      </c>
      <c r="I17" s="80"/>
      <c r="J17" s="87">
        <v>0.15799703544890287</v>
      </c>
      <c r="K17" s="47">
        <f t="shared" si="2"/>
        <v>0.15799703544890287</v>
      </c>
      <c r="L17" s="47">
        <f t="shared" si="3"/>
        <v>0</v>
      </c>
      <c r="M17" s="80"/>
      <c r="N17" s="87">
        <v>0.09827462512751872</v>
      </c>
      <c r="O17" s="47">
        <f t="shared" si="4"/>
        <v>0.09827462512751872</v>
      </c>
      <c r="P17" s="47">
        <f t="shared" si="5"/>
        <v>0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</row>
    <row r="18" spans="1:38" s="82" customFormat="1" ht="12.75">
      <c r="A18" s="82" t="s">
        <v>180</v>
      </c>
      <c r="B18" s="82">
        <v>14</v>
      </c>
      <c r="C18" s="82" t="s">
        <v>231</v>
      </c>
      <c r="D18" s="40">
        <v>0</v>
      </c>
      <c r="E18" s="80"/>
      <c r="F18" s="87">
        <v>0.18874632616583684</v>
      </c>
      <c r="G18" s="47">
        <f t="shared" si="0"/>
        <v>0.18874632616583684</v>
      </c>
      <c r="H18" s="47">
        <f t="shared" si="1"/>
        <v>0</v>
      </c>
      <c r="I18" s="80"/>
      <c r="J18" s="87">
        <v>0.7074105949317134</v>
      </c>
      <c r="K18" s="47">
        <f t="shared" si="2"/>
        <v>0.7074105949317134</v>
      </c>
      <c r="L18" s="47">
        <f t="shared" si="3"/>
        <v>0</v>
      </c>
      <c r="M18" s="80"/>
      <c r="N18" s="87">
        <v>0.5836049744627735</v>
      </c>
      <c r="O18" s="47">
        <f t="shared" si="4"/>
        <v>0.5836049744627735</v>
      </c>
      <c r="P18" s="47">
        <f t="shared" si="5"/>
        <v>0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</row>
    <row r="19" spans="1:38" s="82" customFormat="1" ht="12.75">
      <c r="A19" s="82" t="s">
        <v>180</v>
      </c>
      <c r="B19" s="82">
        <v>15</v>
      </c>
      <c r="C19" s="82" t="s">
        <v>212</v>
      </c>
      <c r="D19" s="40">
        <v>0.001</v>
      </c>
      <c r="E19" s="80"/>
      <c r="F19" s="87">
        <v>0.06540714273073553</v>
      </c>
      <c r="G19" s="47">
        <f t="shared" si="0"/>
        <v>0.06540714273073553</v>
      </c>
      <c r="H19" s="47">
        <f t="shared" si="1"/>
        <v>6.540714273073553E-05</v>
      </c>
      <c r="I19" s="80"/>
      <c r="J19" s="87">
        <v>0.07379696923230651</v>
      </c>
      <c r="K19" s="47">
        <f t="shared" si="2"/>
        <v>0.07379696923230651</v>
      </c>
      <c r="L19" s="47">
        <f t="shared" si="3"/>
        <v>7.379696923230651E-05</v>
      </c>
      <c r="M19" s="80"/>
      <c r="N19" s="87">
        <v>0.10590760571994746</v>
      </c>
      <c r="O19" s="47">
        <f t="shared" si="4"/>
        <v>0.10590760571994746</v>
      </c>
      <c r="P19" s="47">
        <f t="shared" si="5"/>
        <v>0.00010590760571994747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</row>
    <row r="20" spans="1:38" s="82" customFormat="1" ht="12.75">
      <c r="A20" s="82" t="s">
        <v>180</v>
      </c>
      <c r="B20" s="82">
        <v>16</v>
      </c>
      <c r="C20" s="82" t="s">
        <v>213</v>
      </c>
      <c r="D20" s="40">
        <v>0.1</v>
      </c>
      <c r="E20" s="80"/>
      <c r="F20" s="87">
        <v>0.14426946910893668</v>
      </c>
      <c r="G20" s="47">
        <f t="shared" si="0"/>
        <v>0.14426946910893668</v>
      </c>
      <c r="H20" s="47">
        <f t="shared" si="1"/>
        <v>0.014426946910893669</v>
      </c>
      <c r="I20" s="80"/>
      <c r="J20" s="87">
        <v>0.16157310003725256</v>
      </c>
      <c r="K20" s="47">
        <f t="shared" si="2"/>
        <v>0.16157310003725256</v>
      </c>
      <c r="L20" s="47">
        <f t="shared" si="3"/>
        <v>0.016157310003725257</v>
      </c>
      <c r="M20" s="80"/>
      <c r="N20" s="87">
        <v>0.1838276159343232</v>
      </c>
      <c r="O20" s="47">
        <f t="shared" si="4"/>
        <v>0.1838276159343232</v>
      </c>
      <c r="P20" s="47">
        <f t="shared" si="5"/>
        <v>0.01838276159343232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</row>
    <row r="21" spans="1:38" s="82" customFormat="1" ht="12.75">
      <c r="A21" s="82" t="s">
        <v>180</v>
      </c>
      <c r="B21" s="82">
        <v>17</v>
      </c>
      <c r="C21" s="82" t="s">
        <v>232</v>
      </c>
      <c r="D21" s="40">
        <v>0</v>
      </c>
      <c r="E21" s="80"/>
      <c r="F21" s="87">
        <v>6.83112198679802</v>
      </c>
      <c r="G21" s="47">
        <f t="shared" si="0"/>
        <v>6.83112198679802</v>
      </c>
      <c r="H21" s="47">
        <f t="shared" si="1"/>
        <v>0</v>
      </c>
      <c r="I21" s="80"/>
      <c r="J21" s="87">
        <v>6.210323802840313</v>
      </c>
      <c r="K21" s="47">
        <f t="shared" si="2"/>
        <v>6.210323802840313</v>
      </c>
      <c r="L21" s="47">
        <f t="shared" si="3"/>
        <v>0</v>
      </c>
      <c r="M21" s="80"/>
      <c r="N21" s="87">
        <v>6.32297029825308</v>
      </c>
      <c r="O21" s="47">
        <f t="shared" si="4"/>
        <v>6.32297029825308</v>
      </c>
      <c r="P21" s="47">
        <f t="shared" si="5"/>
        <v>0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</row>
    <row r="22" spans="1:38" s="82" customFormat="1" ht="12.75">
      <c r="A22" s="82" t="s">
        <v>180</v>
      </c>
      <c r="B22" s="82">
        <v>18</v>
      </c>
      <c r="C22" s="82" t="s">
        <v>233</v>
      </c>
      <c r="D22" s="40">
        <v>0</v>
      </c>
      <c r="E22" s="80"/>
      <c r="F22" s="87">
        <v>6.975391455906957</v>
      </c>
      <c r="G22" s="47">
        <f t="shared" si="0"/>
        <v>6.975391455906957</v>
      </c>
      <c r="H22" s="47">
        <f t="shared" si="1"/>
        <v>0</v>
      </c>
      <c r="I22" s="80"/>
      <c r="J22" s="87">
        <v>6.371896902877566</v>
      </c>
      <c r="K22" s="47">
        <f t="shared" si="2"/>
        <v>6.371896902877566</v>
      </c>
      <c r="L22" s="47">
        <f t="shared" si="3"/>
        <v>0</v>
      </c>
      <c r="M22" s="80"/>
      <c r="N22" s="87">
        <v>6.5067979141874</v>
      </c>
      <c r="O22" s="47">
        <f t="shared" si="4"/>
        <v>6.5067979141874</v>
      </c>
      <c r="P22" s="47">
        <f t="shared" si="5"/>
        <v>0</v>
      </c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</row>
    <row r="23" spans="1:38" s="82" customFormat="1" ht="12.75">
      <c r="A23" s="82" t="s">
        <v>180</v>
      </c>
      <c r="B23" s="82">
        <v>19</v>
      </c>
      <c r="C23" s="82" t="s">
        <v>214</v>
      </c>
      <c r="D23" s="40">
        <v>0.05</v>
      </c>
      <c r="E23" s="80"/>
      <c r="F23" s="87">
        <v>0.15323959154058</v>
      </c>
      <c r="G23" s="47">
        <f t="shared" si="0"/>
        <v>0.15323959154058</v>
      </c>
      <c r="H23" s="47">
        <f t="shared" si="1"/>
        <v>0.007661979577029</v>
      </c>
      <c r="I23" s="80"/>
      <c r="J23" s="87">
        <v>0.17522716482913306</v>
      </c>
      <c r="K23" s="47">
        <f t="shared" si="2"/>
        <v>0.17522716482913306</v>
      </c>
      <c r="L23" s="47">
        <f t="shared" si="3"/>
        <v>0.008761358241456654</v>
      </c>
      <c r="M23" s="80"/>
      <c r="N23" s="87">
        <v>0.15711218386082296</v>
      </c>
      <c r="O23" s="47">
        <f t="shared" si="4"/>
        <v>0.15711218386082296</v>
      </c>
      <c r="P23" s="47">
        <f t="shared" si="5"/>
        <v>0.007855609193041149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</row>
    <row r="24" spans="1:38" s="82" customFormat="1" ht="12.75">
      <c r="A24" s="82" t="s">
        <v>180</v>
      </c>
      <c r="B24" s="82">
        <v>20</v>
      </c>
      <c r="C24" s="82" t="s">
        <v>215</v>
      </c>
      <c r="D24" s="40">
        <v>0.5</v>
      </c>
      <c r="E24" s="80"/>
      <c r="F24" s="87">
        <v>0.3928166114857317</v>
      </c>
      <c r="G24" s="47">
        <f t="shared" si="0"/>
        <v>0.3928166114857317</v>
      </c>
      <c r="H24" s="47">
        <f t="shared" si="1"/>
        <v>0.19640830574286586</v>
      </c>
      <c r="I24" s="80"/>
      <c r="J24" s="87">
        <v>0.45968684799331</v>
      </c>
      <c r="K24" s="47">
        <f t="shared" si="2"/>
        <v>0.45968684799331</v>
      </c>
      <c r="L24" s="47">
        <f t="shared" si="3"/>
        <v>0.229843423996655</v>
      </c>
      <c r="M24" s="80"/>
      <c r="N24" s="87">
        <v>0.4551164678235581</v>
      </c>
      <c r="O24" s="47">
        <f t="shared" si="4"/>
        <v>0.4551164678235581</v>
      </c>
      <c r="P24" s="47">
        <f t="shared" si="5"/>
        <v>0.22755823391177904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1:38" s="82" customFormat="1" ht="12.75">
      <c r="A25" s="82" t="s">
        <v>180</v>
      </c>
      <c r="B25" s="82">
        <v>21</v>
      </c>
      <c r="C25" s="82" t="s">
        <v>234</v>
      </c>
      <c r="D25" s="40">
        <v>0</v>
      </c>
      <c r="E25" s="80"/>
      <c r="F25" s="87">
        <v>7.3442877409083</v>
      </c>
      <c r="G25" s="47">
        <f t="shared" si="0"/>
        <v>7.3442877409083</v>
      </c>
      <c r="H25" s="47">
        <f t="shared" si="1"/>
        <v>0</v>
      </c>
      <c r="I25" s="80"/>
      <c r="J25" s="87">
        <v>8.908952179921265</v>
      </c>
      <c r="K25" s="47">
        <f t="shared" si="2"/>
        <v>8.908952179921265</v>
      </c>
      <c r="L25" s="47">
        <f t="shared" si="3"/>
        <v>0</v>
      </c>
      <c r="M25" s="80"/>
      <c r="N25" s="87">
        <v>7.631708428996575</v>
      </c>
      <c r="O25" s="47">
        <f t="shared" si="4"/>
        <v>7.631708428996575</v>
      </c>
      <c r="P25" s="47">
        <f t="shared" si="5"/>
        <v>0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1:38" s="82" customFormat="1" ht="12.75">
      <c r="A26" s="82" t="s">
        <v>180</v>
      </c>
      <c r="B26" s="82">
        <v>22</v>
      </c>
      <c r="C26" s="82" t="s">
        <v>235</v>
      </c>
      <c r="D26" s="40">
        <v>0</v>
      </c>
      <c r="E26" s="80"/>
      <c r="F26" s="87">
        <v>7.890343943934617</v>
      </c>
      <c r="G26" s="47">
        <f t="shared" si="0"/>
        <v>7.890343943934617</v>
      </c>
      <c r="H26" s="47">
        <f t="shared" si="1"/>
        <v>0</v>
      </c>
      <c r="I26" s="80"/>
      <c r="J26" s="87">
        <v>9.5438661927437</v>
      </c>
      <c r="K26" s="47">
        <f t="shared" si="2"/>
        <v>9.5438661927437</v>
      </c>
      <c r="L26" s="47">
        <f t="shared" si="3"/>
        <v>0</v>
      </c>
      <c r="M26" s="80"/>
      <c r="N26" s="87">
        <v>8.243937080680956</v>
      </c>
      <c r="O26" s="47">
        <f t="shared" si="4"/>
        <v>8.243937080680956</v>
      </c>
      <c r="P26" s="47">
        <f t="shared" si="5"/>
        <v>0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</row>
    <row r="27" spans="1:38" s="82" customFormat="1" ht="12.75">
      <c r="A27" s="82" t="s">
        <v>180</v>
      </c>
      <c r="B27" s="82">
        <v>23</v>
      </c>
      <c r="C27" s="82" t="s">
        <v>216</v>
      </c>
      <c r="D27" s="40">
        <v>0.1</v>
      </c>
      <c r="E27" s="80"/>
      <c r="F27" s="87">
        <v>0.14389571400761816</v>
      </c>
      <c r="G27" s="47">
        <f t="shared" si="0"/>
        <v>0.14389571400761816</v>
      </c>
      <c r="H27" s="47">
        <f t="shared" si="1"/>
        <v>0.014389571400761816</v>
      </c>
      <c r="I27" s="80"/>
      <c r="J27" s="87">
        <v>0.19018161674405</v>
      </c>
      <c r="K27" s="47">
        <f t="shared" si="2"/>
        <v>0.19018161674405</v>
      </c>
      <c r="L27" s="47">
        <f t="shared" si="3"/>
        <v>0.019018161674405003</v>
      </c>
      <c r="M27" s="80"/>
      <c r="N27" s="87">
        <v>0.19813945454512694</v>
      </c>
      <c r="O27" s="47">
        <f t="shared" si="4"/>
        <v>0.19813945454512694</v>
      </c>
      <c r="P27" s="47">
        <f t="shared" si="5"/>
        <v>0.019813945454512694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</row>
    <row r="28" spans="1:38" s="82" customFormat="1" ht="12.75">
      <c r="A28" s="82" t="s">
        <v>180</v>
      </c>
      <c r="B28" s="82">
        <v>24</v>
      </c>
      <c r="C28" s="82" t="s">
        <v>217</v>
      </c>
      <c r="D28" s="40">
        <v>0.1</v>
      </c>
      <c r="E28" s="80"/>
      <c r="F28" s="87">
        <v>0.09605506103885161</v>
      </c>
      <c r="G28" s="47">
        <f t="shared" si="0"/>
        <v>0.09605506103885161</v>
      </c>
      <c r="H28" s="47">
        <f t="shared" si="1"/>
        <v>0.009605506103885162</v>
      </c>
      <c r="I28" s="80"/>
      <c r="J28" s="87">
        <v>0.10825722799276681</v>
      </c>
      <c r="K28" s="47">
        <f t="shared" si="2"/>
        <v>0.10825722799276681</v>
      </c>
      <c r="L28" s="47">
        <f t="shared" si="3"/>
        <v>0.010825722799276682</v>
      </c>
      <c r="M28" s="80"/>
      <c r="N28" s="87">
        <v>0.1310328335033584</v>
      </c>
      <c r="O28" s="47">
        <f t="shared" si="4"/>
        <v>0.1310328335033584</v>
      </c>
      <c r="P28" s="47">
        <f t="shared" si="5"/>
        <v>0.01310328335033584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</row>
    <row r="29" spans="1:38" s="82" customFormat="1" ht="12.75">
      <c r="A29" s="82" t="s">
        <v>180</v>
      </c>
      <c r="B29" s="82">
        <v>25</v>
      </c>
      <c r="C29" s="82" t="s">
        <v>218</v>
      </c>
      <c r="D29" s="40">
        <v>0.1</v>
      </c>
      <c r="E29" s="80">
        <v>1</v>
      </c>
      <c r="F29" s="87">
        <v>0.032890448916027</v>
      </c>
      <c r="G29" s="47">
        <f t="shared" si="0"/>
        <v>0.0164452244580135</v>
      </c>
      <c r="H29" s="47">
        <f t="shared" si="1"/>
        <v>0.00164452244580135</v>
      </c>
      <c r="I29" s="80">
        <v>1</v>
      </c>
      <c r="J29" s="87">
        <v>0.03673593622577372</v>
      </c>
      <c r="K29" s="47">
        <f t="shared" si="2"/>
        <v>0.01836796811288686</v>
      </c>
      <c r="L29" s="47">
        <f t="shared" si="3"/>
        <v>0.0018367968112886863</v>
      </c>
      <c r="M29" s="80">
        <v>1</v>
      </c>
      <c r="N29" s="87">
        <v>0.02226286006125022</v>
      </c>
      <c r="O29" s="47">
        <f t="shared" si="4"/>
        <v>0.01113143003062511</v>
      </c>
      <c r="P29" s="47">
        <f t="shared" si="5"/>
        <v>0.001113143003062511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</row>
    <row r="30" spans="1:38" s="82" customFormat="1" ht="12.75">
      <c r="A30" s="82" t="s">
        <v>180</v>
      </c>
      <c r="B30" s="82">
        <v>26</v>
      </c>
      <c r="C30" s="82" t="s">
        <v>219</v>
      </c>
      <c r="D30" s="40">
        <v>0.1</v>
      </c>
      <c r="E30" s="80"/>
      <c r="F30" s="87">
        <v>0.11885412221928</v>
      </c>
      <c r="G30" s="47">
        <f t="shared" si="0"/>
        <v>0.11885412221928</v>
      </c>
      <c r="H30" s="47">
        <f t="shared" si="1"/>
        <v>0.011885412221928002</v>
      </c>
      <c r="I30" s="80"/>
      <c r="J30" s="87">
        <v>0.14759393846461302</v>
      </c>
      <c r="K30" s="47">
        <f t="shared" si="2"/>
        <v>0.14759393846461302</v>
      </c>
      <c r="L30" s="47">
        <f t="shared" si="3"/>
        <v>0.014759393846461303</v>
      </c>
      <c r="M30" s="80">
        <v>1</v>
      </c>
      <c r="N30" s="87">
        <v>0.017810288049000176</v>
      </c>
      <c r="O30" s="47">
        <f t="shared" si="4"/>
        <v>0.008905144024500088</v>
      </c>
      <c r="P30" s="47">
        <f t="shared" si="5"/>
        <v>0.0008905144024500089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1:38" s="82" customFormat="1" ht="12.75">
      <c r="A31" s="82" t="s">
        <v>180</v>
      </c>
      <c r="B31" s="82">
        <v>27</v>
      </c>
      <c r="C31" s="82" t="s">
        <v>236</v>
      </c>
      <c r="D31" s="40">
        <v>0</v>
      </c>
      <c r="E31" s="80"/>
      <c r="F31" s="87">
        <v>9.17830402307813</v>
      </c>
      <c r="G31" s="47">
        <f t="shared" si="0"/>
        <v>9.17830402307813</v>
      </c>
      <c r="H31" s="47">
        <f t="shared" si="1"/>
        <v>0</v>
      </c>
      <c r="I31" s="80"/>
      <c r="J31" s="87">
        <v>6.3390621280209</v>
      </c>
      <c r="K31" s="47">
        <f t="shared" si="2"/>
        <v>6.3390621280209</v>
      </c>
      <c r="L31" s="47">
        <f t="shared" si="3"/>
        <v>0</v>
      </c>
      <c r="M31" s="80"/>
      <c r="N31" s="87">
        <v>6.64673589171526</v>
      </c>
      <c r="O31" s="47">
        <f t="shared" si="4"/>
        <v>6.64673589171526</v>
      </c>
      <c r="P31" s="47">
        <f t="shared" si="5"/>
        <v>0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1:38" s="82" customFormat="1" ht="12.75">
      <c r="A32" s="82" t="s">
        <v>180</v>
      </c>
      <c r="B32" s="82">
        <v>28</v>
      </c>
      <c r="C32" s="82" t="s">
        <v>237</v>
      </c>
      <c r="D32" s="40">
        <v>0</v>
      </c>
      <c r="E32" s="80"/>
      <c r="F32" s="87">
        <v>9.5699993692599</v>
      </c>
      <c r="G32" s="47">
        <f t="shared" si="0"/>
        <v>9.5699993692599</v>
      </c>
      <c r="H32" s="47">
        <f t="shared" si="1"/>
        <v>0</v>
      </c>
      <c r="I32" s="80"/>
      <c r="J32" s="87">
        <v>6.8218308474481</v>
      </c>
      <c r="K32" s="47">
        <f t="shared" si="2"/>
        <v>6.8218308474481</v>
      </c>
      <c r="L32" s="47">
        <f t="shared" si="3"/>
        <v>0</v>
      </c>
      <c r="M32" s="80"/>
      <c r="N32" s="87">
        <v>7.015981327874</v>
      </c>
      <c r="O32" s="47">
        <f t="shared" si="4"/>
        <v>7.015981327874</v>
      </c>
      <c r="P32" s="47">
        <f t="shared" si="5"/>
        <v>0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1:38" s="82" customFormat="1" ht="12.75">
      <c r="A33" s="82" t="s">
        <v>180</v>
      </c>
      <c r="B33" s="82">
        <v>29</v>
      </c>
      <c r="C33" s="82" t="s">
        <v>220</v>
      </c>
      <c r="D33" s="40">
        <v>0.01</v>
      </c>
      <c r="E33" s="80"/>
      <c r="F33" s="87">
        <v>0.0698922039465574</v>
      </c>
      <c r="G33" s="47">
        <f t="shared" si="0"/>
        <v>0.0698922039465574</v>
      </c>
      <c r="H33" s="47">
        <f t="shared" si="1"/>
        <v>0.0006989220394655741</v>
      </c>
      <c r="I33" s="80"/>
      <c r="J33" s="87">
        <v>0.10370587306214</v>
      </c>
      <c r="K33" s="47">
        <f t="shared" si="2"/>
        <v>0.10370587306214</v>
      </c>
      <c r="L33" s="47">
        <f t="shared" si="3"/>
        <v>0.0010370587306214002</v>
      </c>
      <c r="M33" s="80"/>
      <c r="N33" s="87">
        <v>0.09827462512751882</v>
      </c>
      <c r="O33" s="47">
        <f t="shared" si="4"/>
        <v>0.09827462512751882</v>
      </c>
      <c r="P33" s="47">
        <f t="shared" si="5"/>
        <v>0.0009827462512751882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s="82" customFormat="1" ht="12.75">
      <c r="A34" s="82" t="s">
        <v>180</v>
      </c>
      <c r="B34" s="82">
        <v>30</v>
      </c>
      <c r="C34" s="82" t="s">
        <v>221</v>
      </c>
      <c r="D34" s="40">
        <v>0.01</v>
      </c>
      <c r="E34" s="80">
        <v>1</v>
      </c>
      <c r="F34" s="87">
        <v>0.020930285673835376</v>
      </c>
      <c r="G34" s="47">
        <f t="shared" si="0"/>
        <v>0.010465142836917688</v>
      </c>
      <c r="H34" s="47">
        <f t="shared" si="1"/>
        <v>0.00010465142836917688</v>
      </c>
      <c r="I34" s="80">
        <v>1</v>
      </c>
      <c r="J34" s="87">
        <v>0.02470735533768852</v>
      </c>
      <c r="K34" s="47">
        <f t="shared" si="2"/>
        <v>0.01235367766884426</v>
      </c>
      <c r="L34" s="47">
        <f t="shared" si="3"/>
        <v>0.0001235367766884426</v>
      </c>
      <c r="M34" s="80">
        <v>1</v>
      </c>
      <c r="N34" s="87">
        <v>0.028941718079625284</v>
      </c>
      <c r="O34" s="47">
        <f t="shared" si="4"/>
        <v>0.014470859039812642</v>
      </c>
      <c r="P34" s="47">
        <f t="shared" si="5"/>
        <v>0.00014470859039812642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s="82" customFormat="1" ht="12.75">
      <c r="A35" s="82" t="s">
        <v>180</v>
      </c>
      <c r="B35" s="82">
        <v>31</v>
      </c>
      <c r="C35" s="82" t="s">
        <v>238</v>
      </c>
      <c r="D35" s="40">
        <v>0</v>
      </c>
      <c r="E35" s="80"/>
      <c r="F35" s="87">
        <v>0.9392465696133622</v>
      </c>
      <c r="G35" s="47">
        <f t="shared" si="0"/>
        <v>0.9392465696133622</v>
      </c>
      <c r="H35" s="47">
        <f t="shared" si="1"/>
        <v>0</v>
      </c>
      <c r="I35" s="80"/>
      <c r="J35" s="87">
        <v>1.4073439639059686</v>
      </c>
      <c r="K35" s="47">
        <f t="shared" si="2"/>
        <v>1.4073439639059686</v>
      </c>
      <c r="L35" s="47">
        <f t="shared" si="3"/>
        <v>0</v>
      </c>
      <c r="M35" s="80"/>
      <c r="N35" s="87">
        <v>1.3834777323777</v>
      </c>
      <c r="O35" s="47">
        <f t="shared" si="4"/>
        <v>1.3834777323777</v>
      </c>
      <c r="P35" s="47">
        <f t="shared" si="5"/>
        <v>0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s="82" customFormat="1" ht="12.75">
      <c r="A36" s="82" t="s">
        <v>180</v>
      </c>
      <c r="B36" s="82">
        <v>32</v>
      </c>
      <c r="C36" s="82" t="s">
        <v>239</v>
      </c>
      <c r="D36" s="40">
        <v>0</v>
      </c>
      <c r="E36" s="80"/>
      <c r="F36" s="87">
        <v>1.030069059233755</v>
      </c>
      <c r="G36" s="47">
        <f t="shared" si="0"/>
        <v>1.030069059233755</v>
      </c>
      <c r="H36" s="47">
        <f t="shared" si="1"/>
        <v>0</v>
      </c>
      <c r="I36" s="80"/>
      <c r="J36" s="87">
        <v>1.5357571923058</v>
      </c>
      <c r="K36" s="47">
        <f t="shared" si="2"/>
        <v>1.5357571923058</v>
      </c>
      <c r="L36" s="47">
        <f t="shared" si="3"/>
        <v>0</v>
      </c>
      <c r="M36" s="80"/>
      <c r="N36" s="87">
        <v>1.5106940755848361</v>
      </c>
      <c r="O36" s="47">
        <f t="shared" si="4"/>
        <v>1.5106940755848361</v>
      </c>
      <c r="P36" s="47">
        <f t="shared" si="5"/>
        <v>0</v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s="82" customFormat="1" ht="12.75">
      <c r="A37" s="82" t="s">
        <v>180</v>
      </c>
      <c r="B37" s="82">
        <v>33</v>
      </c>
      <c r="C37" s="82" t="s">
        <v>222</v>
      </c>
      <c r="D37" s="40">
        <v>0.001</v>
      </c>
      <c r="E37" s="80">
        <v>1</v>
      </c>
      <c r="F37" s="87">
        <v>0.013828938748784</v>
      </c>
      <c r="G37" s="47">
        <f t="shared" si="0"/>
        <v>0.006914469374392</v>
      </c>
      <c r="H37" s="47">
        <f t="shared" si="1"/>
        <v>6.914469374392001E-06</v>
      </c>
      <c r="I37" s="80">
        <v>1</v>
      </c>
      <c r="J37" s="87">
        <v>0.01267877444960332</v>
      </c>
      <c r="K37" s="47">
        <f t="shared" si="2"/>
        <v>0.00633938722480166</v>
      </c>
      <c r="L37" s="47">
        <f t="shared" si="3"/>
        <v>6.33938722480166E-06</v>
      </c>
      <c r="M37" s="80">
        <v>1</v>
      </c>
      <c r="N37" s="87">
        <v>0.01431183861080371</v>
      </c>
      <c r="O37" s="47">
        <f t="shared" si="4"/>
        <v>0.007155919305401855</v>
      </c>
      <c r="P37" s="47">
        <f t="shared" si="5"/>
        <v>7.155919305401855E-06</v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s="82" customFormat="1" ht="12.75">
      <c r="A38" s="82" t="s">
        <v>180</v>
      </c>
      <c r="B38" s="82">
        <v>34</v>
      </c>
      <c r="C38" s="82" t="s">
        <v>223</v>
      </c>
      <c r="D38" s="80"/>
      <c r="E38" s="80"/>
      <c r="F38" s="87">
        <v>37.5638827029134</v>
      </c>
      <c r="G38" s="87">
        <f>G37+G36+G32+G26+G22+G19+G18+G15+G10+G7</f>
        <v>37.556968233538996</v>
      </c>
      <c r="H38" s="87"/>
      <c r="I38" s="80"/>
      <c r="J38" s="87">
        <v>38.1367782540645</v>
      </c>
      <c r="K38" s="87">
        <f>K37+K36+K32+K26+K22+K19+K18+K15+K10+K7</f>
        <v>38.13043886683969</v>
      </c>
      <c r="L38" s="87"/>
      <c r="M38" s="80"/>
      <c r="N38" s="87">
        <v>36.8466236056592</v>
      </c>
      <c r="O38" s="87">
        <f>O37+O36+O32+O26+O22+O19+O18+O15+O10+O7</f>
        <v>36.8394676863538</v>
      </c>
      <c r="P38" s="87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s="82" customFormat="1" ht="12.75">
      <c r="A39" s="82" t="s">
        <v>180</v>
      </c>
      <c r="B39" s="82">
        <v>35</v>
      </c>
      <c r="C39" s="82" t="s">
        <v>26</v>
      </c>
      <c r="D39" s="80"/>
      <c r="E39" s="85">
        <f>(F39-H39)*2/F39*100</f>
        <v>47.173940930761354</v>
      </c>
      <c r="F39" s="87">
        <v>0.42537890342280116</v>
      </c>
      <c r="G39" s="87"/>
      <c r="H39" s="87">
        <f>SUM(H5:H37)</f>
        <v>0.32504490710650485</v>
      </c>
      <c r="I39" s="85">
        <f>(J39-L39)*2/J39*100</f>
        <v>39.89463053079344</v>
      </c>
      <c r="J39" s="87">
        <v>0.4712492400977868</v>
      </c>
      <c r="K39" s="87"/>
      <c r="L39" s="87">
        <f>SUM(L5:L37)</f>
        <v>0.37724766848969493</v>
      </c>
      <c r="M39" s="85">
        <f>(N39-P39)*2/N39*100</f>
        <v>39.85788953696453</v>
      </c>
      <c r="N39" s="87">
        <v>0.47449724162945</v>
      </c>
      <c r="O39" s="87"/>
      <c r="P39" s="87">
        <f>SUM(P5:P37)</f>
        <v>0.3799349484171451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</sheetData>
  <printOptions headings="1" horizontalCentered="1" vertic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59"/>
  <sheetViews>
    <sheetView workbookViewId="0" topLeftCell="B1">
      <selection activeCell="C6" sqref="C6"/>
    </sheetView>
  </sheetViews>
  <sheetFormatPr defaultColWidth="9.140625" defaultRowHeight="12.75"/>
  <cols>
    <col min="1" max="1" width="4.7109375" style="1" customWidth="1"/>
    <col min="2" max="2" width="25.00390625" style="1" customWidth="1"/>
    <col min="3" max="3" width="67.57421875" style="1" customWidth="1"/>
    <col min="4" max="16384" width="8.8515625" style="1" customWidth="1"/>
  </cols>
  <sheetData>
    <row r="1" spans="2:12" ht="12.75">
      <c r="B1" s="11" t="s">
        <v>74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2.75">
      <c r="B3" s="20" t="s">
        <v>155</v>
      </c>
      <c r="C3" s="21">
        <v>203</v>
      </c>
      <c r="D3" s="20"/>
      <c r="E3" s="20"/>
      <c r="F3" s="20"/>
      <c r="G3" s="20"/>
      <c r="H3" s="20"/>
      <c r="I3" s="20"/>
      <c r="J3" s="20"/>
      <c r="K3" s="20"/>
      <c r="L3" s="20"/>
    </row>
    <row r="4" spans="2:12" ht="12.75">
      <c r="B4" s="20" t="s">
        <v>0</v>
      </c>
      <c r="C4" s="20" t="s">
        <v>114</v>
      </c>
      <c r="D4" s="20"/>
      <c r="E4" s="20"/>
      <c r="F4" s="20"/>
      <c r="G4" s="20"/>
      <c r="H4" s="20"/>
      <c r="I4" s="20"/>
      <c r="J4" s="20"/>
      <c r="K4" s="20"/>
      <c r="L4" s="20"/>
    </row>
    <row r="5" spans="2:12" ht="12.75">
      <c r="B5" s="20" t="s">
        <v>1</v>
      </c>
      <c r="C5" s="20" t="s">
        <v>309</v>
      </c>
      <c r="D5" s="20"/>
      <c r="E5" s="20"/>
      <c r="F5" s="20"/>
      <c r="G5" s="20"/>
      <c r="H5" s="20"/>
      <c r="I5" s="20"/>
      <c r="J5" s="20"/>
      <c r="K5" s="20"/>
      <c r="L5" s="20"/>
    </row>
    <row r="6" spans="2:12" ht="12.75"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2:12" ht="12.75">
      <c r="B7" s="20" t="s">
        <v>3</v>
      </c>
      <c r="C7" s="20" t="s">
        <v>115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ht="12.75">
      <c r="B8" s="20" t="s">
        <v>4</v>
      </c>
      <c r="C8" s="20" t="s">
        <v>121</v>
      </c>
      <c r="D8" s="20"/>
      <c r="E8" s="20"/>
      <c r="F8" s="20"/>
      <c r="G8" s="20"/>
      <c r="H8" s="20"/>
      <c r="I8" s="20"/>
      <c r="J8" s="20"/>
      <c r="K8" s="20"/>
      <c r="L8" s="20"/>
    </row>
    <row r="9" spans="2:12" ht="12.75">
      <c r="B9" s="20" t="s">
        <v>5</v>
      </c>
      <c r="C9" s="20" t="s">
        <v>159</v>
      </c>
      <c r="D9" s="20"/>
      <c r="E9" s="20"/>
      <c r="F9" s="20"/>
      <c r="G9" s="20"/>
      <c r="H9" s="20"/>
      <c r="I9" s="20"/>
      <c r="J9" s="20"/>
      <c r="K9" s="20"/>
      <c r="L9" s="20"/>
    </row>
    <row r="10" spans="2:12" ht="12.75">
      <c r="B10" s="2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2:12" ht="12.75">
      <c r="B11" s="20" t="s">
        <v>276</v>
      </c>
      <c r="C11" s="21">
        <v>0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2:12" ht="12.75">
      <c r="B12" s="20" t="s">
        <v>250</v>
      </c>
      <c r="C12" s="20" t="s">
        <v>291</v>
      </c>
      <c r="D12" s="20"/>
      <c r="E12" s="20"/>
      <c r="F12" s="20"/>
      <c r="G12" s="20"/>
      <c r="H12" s="20"/>
      <c r="I12" s="20"/>
      <c r="J12" s="20"/>
      <c r="K12" s="20"/>
      <c r="L12" s="20"/>
    </row>
    <row r="13" spans="2:12" ht="12.75">
      <c r="B13" s="20" t="s">
        <v>251</v>
      </c>
      <c r="C13" s="54" t="s">
        <v>123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2:12" s="55" customFormat="1" ht="12.75">
      <c r="B14" s="54" t="s">
        <v>64</v>
      </c>
      <c r="D14" s="54"/>
      <c r="E14" s="54"/>
      <c r="F14" s="54"/>
      <c r="G14" s="54"/>
      <c r="H14" s="54"/>
      <c r="I14" s="54"/>
      <c r="J14" s="54"/>
      <c r="K14" s="54"/>
      <c r="L14" s="54"/>
    </row>
    <row r="15" spans="2:12" s="55" customFormat="1" ht="12.75">
      <c r="B15" s="54" t="s">
        <v>70</v>
      </c>
      <c r="C15" s="56" t="s">
        <v>122</v>
      </c>
      <c r="D15" s="54"/>
      <c r="E15" s="54"/>
      <c r="F15" s="54"/>
      <c r="G15" s="54"/>
      <c r="H15" s="54"/>
      <c r="I15" s="54"/>
      <c r="J15" s="54"/>
      <c r="K15" s="54"/>
      <c r="L15" s="54"/>
    </row>
    <row r="16" spans="2:12" s="55" customFormat="1" ht="12.75">
      <c r="B16" s="20" t="s">
        <v>75</v>
      </c>
      <c r="C16" s="20"/>
      <c r="F16" s="54"/>
      <c r="G16" s="54"/>
      <c r="H16" s="54"/>
      <c r="I16" s="54"/>
      <c r="J16" s="54"/>
      <c r="K16" s="54"/>
      <c r="L16" s="54"/>
    </row>
    <row r="17" spans="2:12" s="55" customFormat="1" ht="12.75">
      <c r="B17" s="20" t="s">
        <v>277</v>
      </c>
      <c r="C17" s="54" t="s">
        <v>117</v>
      </c>
      <c r="D17" s="54"/>
      <c r="E17" s="54"/>
      <c r="F17" s="54"/>
      <c r="G17" s="54"/>
      <c r="H17" s="54"/>
      <c r="I17" s="54"/>
      <c r="J17" s="54"/>
      <c r="K17" s="54"/>
      <c r="L17" s="54"/>
    </row>
    <row r="18" spans="2:12" s="55" customFormat="1" ht="12.75">
      <c r="B18" s="20" t="s">
        <v>278</v>
      </c>
      <c r="C18" s="54" t="s">
        <v>117</v>
      </c>
      <c r="D18" s="54"/>
      <c r="E18" s="54"/>
      <c r="F18" s="54"/>
      <c r="G18" s="54"/>
      <c r="H18" s="54"/>
      <c r="I18" s="54"/>
      <c r="J18" s="54"/>
      <c r="K18" s="54"/>
      <c r="L18" s="54"/>
    </row>
    <row r="19" spans="2:12" ht="25.5">
      <c r="B19" s="54" t="s">
        <v>7</v>
      </c>
      <c r="C19" s="54" t="s">
        <v>302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12.75">
      <c r="B20" s="20" t="s">
        <v>67</v>
      </c>
      <c r="C20" s="54" t="s">
        <v>279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2:12" ht="12.75">
      <c r="B21" s="62" t="s">
        <v>76</v>
      </c>
      <c r="C21" s="54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2.75">
      <c r="B22" s="20" t="s">
        <v>68</v>
      </c>
      <c r="C22" s="54" t="s">
        <v>118</v>
      </c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2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ht="12.75">
      <c r="B24" s="20" t="s">
        <v>8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</row>
    <row r="25" spans="2:12" ht="12.75">
      <c r="B25" s="20" t="s">
        <v>9</v>
      </c>
      <c r="C25" s="21">
        <v>12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2:12" ht="12.75">
      <c r="B26" s="20" t="s">
        <v>10</v>
      </c>
      <c r="C26" s="21">
        <v>200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2:12" ht="12.75">
      <c r="B27" s="20" t="s">
        <v>71</v>
      </c>
      <c r="C27" s="22">
        <v>12.278734568421395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4.25" customHeight="1">
      <c r="B28" s="20" t="s">
        <v>72</v>
      </c>
      <c r="C28" s="22">
        <v>386.74333333333334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2:12" ht="12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ht="12.75">
      <c r="B30" s="62" t="s">
        <v>11</v>
      </c>
      <c r="C30" s="61" t="s">
        <v>131</v>
      </c>
      <c r="D30" s="20"/>
      <c r="E30" s="20"/>
      <c r="F30" s="20"/>
      <c r="G30" s="20"/>
      <c r="H30" s="20"/>
      <c r="I30" s="20"/>
      <c r="J30" s="20"/>
      <c r="K30" s="20"/>
      <c r="L30" s="20"/>
    </row>
    <row r="31" spans="2:12" ht="12.75">
      <c r="B31" s="20" t="s">
        <v>99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ht="14.2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50" spans="2:12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12.75">
      <c r="B52" s="20"/>
      <c r="C52" s="23"/>
      <c r="D52" s="20"/>
      <c r="E52" s="20"/>
      <c r="F52" s="20"/>
      <c r="G52" s="20"/>
      <c r="H52" s="20"/>
      <c r="I52" s="20"/>
      <c r="J52" s="20"/>
      <c r="K52" s="20"/>
      <c r="L52" s="20"/>
    </row>
    <row r="53" spans="2:12" ht="12.75">
      <c r="B53" s="20"/>
      <c r="C53" s="23"/>
      <c r="D53" s="20"/>
      <c r="E53" s="20"/>
      <c r="F53" s="20"/>
      <c r="G53" s="20"/>
      <c r="H53" s="20"/>
      <c r="I53" s="20"/>
      <c r="J53" s="20"/>
      <c r="K53" s="20"/>
      <c r="L53" s="20"/>
    </row>
    <row r="54" spans="2:12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2:12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2:12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2:12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2:12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2:12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2:12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2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2:12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2:12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2:12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2:12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2:12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2:12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2:12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2:12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2:12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2:12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2:12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2:12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2:12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2:12" ht="12.7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2:12" ht="12.7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2:12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2:12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2:12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2:12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2:12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2:12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2:12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2:12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2:12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2:12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2:12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2:12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2:12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2:12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2:12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2:12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2:12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2:12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2:12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2:12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2:12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2:12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2:12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2:12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2:12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2:12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2:12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2:12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2:12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2:12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2:12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2:12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2:12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2:12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2:12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2:12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2:12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2:12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2:12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2:12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2:12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2:12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2:12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2:12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2:12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2:12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2:12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2:12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2:12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2:12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2:12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2:12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2:12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2:12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2:12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2:12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2:12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2:12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2:12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2:12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2:12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2:12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2:12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2:12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2:12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2:12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2:12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2:12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2:12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2:12" ht="12.7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2:12" ht="12.7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2:12" ht="12.7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2:12" ht="12.7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2:12" ht="12.7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2:12" ht="12.7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2:12" ht="12.7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2:12" ht="12.7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2:12" ht="12.7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2:12" ht="12.7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2:12" ht="12.7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2:12" ht="12.7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2:12" ht="12.7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2:12" ht="12.7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2:12" ht="12.7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2:12" ht="12.7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2:12" ht="12.7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2:12" ht="12.7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2:12" ht="12.7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2:12" ht="12.7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2:12" ht="12.7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2:12" ht="12.7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2:12" ht="12.7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2:12" ht="12.7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2:12" ht="12.7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2:12" ht="12.7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2:12" ht="12.7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2:12" ht="12.7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2:12" ht="12.7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2:12" ht="12.7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2:12" ht="12.7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2:12" ht="12.7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2:12" ht="12.7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2:12" ht="12.7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2:12" ht="12.7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2:12" ht="12.7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2:12" ht="12.7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2:12" ht="12.7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2:12" ht="12.7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2:12" ht="12.7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2:12" ht="12.7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2:12" ht="12.7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2:12" ht="12.7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2:12" ht="12.7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2:12" ht="12.7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2:12" ht="12.7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2:12" ht="12.7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2:12" ht="12.7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2:12" ht="12.7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2:12" ht="12.7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2:12" ht="12.7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2:12" ht="12.7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2:12" ht="12.7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2:12" ht="12.7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2:12" ht="12.7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2:12" ht="12.7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2:12" ht="12.7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2:12" ht="12.7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2:12" ht="12.7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2:12" ht="12.7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2:12" ht="12.7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2:12" ht="12.7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2:12" ht="12.7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2:12" ht="12.7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2:12" ht="12.7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2:12" ht="12.7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2:12" ht="12.75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2:12" ht="12.7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2:12" ht="12.7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2:12" ht="12.7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2:12" ht="12.7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2:12" ht="12.7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2:12" ht="12.75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2:12" ht="12.75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2:12" ht="12.75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2:12" ht="12.75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2:12" ht="12.7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2:12" ht="12.7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2:12" ht="12.7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2:12" ht="12.7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2:12" ht="12.7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2:12" ht="12.7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2:12" ht="12.7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2:12" ht="12.7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2:12" ht="12.7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2:12" ht="12.7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2:12" ht="12.7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2:12" ht="12.7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2:12" ht="12.7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2:12" ht="12.7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2:12" ht="12.7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2:12" ht="12.7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2:12" ht="12.7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2:12" ht="12.7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2:12" ht="12.7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2:12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2:12" ht="12.7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2:12" ht="12.7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2:12" ht="12.7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2:12" ht="12.7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2:12" ht="12.7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2:12" ht="12.7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2:12" ht="12.7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2:12" ht="12.7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2:12" ht="12.7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2:12" ht="12.7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2:12" ht="12.7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2:12" ht="12.7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2:12" ht="12.7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2:12" ht="12.7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2:12" ht="12.7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2:12" ht="12.7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2:12" ht="12.7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2:12" ht="12.7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2:12" ht="12.7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2:12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2:12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2:12" ht="12.7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2:12" ht="12.7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2:12" ht="12.7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2:12" ht="12.7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2:12" ht="12.7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2:12" ht="12.7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2:12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2:12" ht="12.7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2:12" ht="12.7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2:12" ht="12.7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2:12" ht="12.7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2:12" ht="12.7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2:12" ht="12.7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2:12" ht="12.7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2:12" ht="12.7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2:12" ht="12.7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2:12" ht="12.7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2:12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2:12" ht="12.7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2:12" ht="12.7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2:12" ht="12.7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2:12" ht="12.7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2:12" ht="12.7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2:12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2:12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2:12" ht="12.7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2:12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2:12" ht="12.7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2:12" ht="12.7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2:12" ht="12.7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2:12" ht="12.7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2:12" ht="12.7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2:12" ht="12.7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2:12" ht="12.7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2:12" ht="12.7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2:12" ht="12.7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2:12" ht="12.7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2:12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2:12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2:12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2:12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2:12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2:12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2:12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2:12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2:12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2:12" ht="12.7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2:12" ht="12.7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2:12" ht="12.7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2:12" ht="12.7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2:12" ht="12.7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2:12" ht="12.7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2:12" ht="12.7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2:12" ht="12.7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2:12" ht="12.7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2:12" ht="12.7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2:12" ht="12.7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2:12" ht="12.7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2:12" ht="12.7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2:12" ht="12.7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2:12" ht="12.7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2:12" ht="12.7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2:12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2:12" ht="12.7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2:12" ht="12.7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2:12" ht="12.7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2:12" ht="12.7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2:12" ht="12.7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2:12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</row>
    <row r="410" spans="2:12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</row>
    <row r="411" spans="2:12" ht="12.7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</row>
    <row r="412" spans="2:12" ht="12.7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2:12" ht="12.7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</row>
    <row r="414" spans="2:12" ht="12.7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2:12" ht="12.7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2:12" ht="12.7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</row>
    <row r="417" spans="2:12" ht="12.7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</row>
    <row r="418" spans="2:12" ht="12.7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</row>
    <row r="419" spans="2:12" ht="12.7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</row>
    <row r="420" spans="2:12" ht="12.7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</row>
    <row r="421" spans="2:12" ht="12.7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</row>
    <row r="422" spans="2:12" ht="12.7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</row>
    <row r="423" spans="2:12" ht="12.7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2:12" ht="12.7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</row>
    <row r="425" spans="2:12" ht="12.7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2:12" ht="12.7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2:12" ht="12.7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</row>
    <row r="428" spans="2:12" ht="12.7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</row>
    <row r="429" spans="2:12" ht="12.7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2:12" ht="12.7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</row>
    <row r="431" spans="2:12" ht="12.7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</row>
    <row r="432" spans="2:12" ht="12.7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</row>
    <row r="433" spans="2:12" ht="12.7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</row>
    <row r="434" spans="2:12" ht="12.7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</row>
    <row r="435" spans="2:12" ht="12.7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</row>
    <row r="436" spans="2:12" ht="12.7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</row>
    <row r="437" spans="2:12" ht="12.7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</row>
    <row r="438" spans="2:12" ht="12.7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2:12" ht="12.7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2:12" ht="12.7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</row>
    <row r="441" spans="2:12" ht="12.7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2:12" ht="12.7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</row>
    <row r="443" spans="2:12" ht="12.7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</row>
    <row r="444" spans="2:12" ht="12.7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</row>
    <row r="445" spans="2:12" ht="12.7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2:12" ht="12.7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</row>
    <row r="447" spans="2:12" ht="12.7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</row>
    <row r="448" spans="2:12" ht="12.7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2:12" ht="12.7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</row>
    <row r="450" spans="2:12" ht="12.7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2:12" ht="12.7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</row>
    <row r="452" spans="2:12" ht="12.7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2:12" ht="12.7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</row>
    <row r="454" spans="2:12" ht="12.7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</row>
    <row r="455" spans="2:12" ht="12.7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</row>
    <row r="456" spans="2:12" ht="12.7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</row>
    <row r="457" spans="2:12" ht="12.7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2:12" ht="12.7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2:12" ht="12.7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B1">
      <selection activeCell="C6" sqref="C6"/>
    </sheetView>
  </sheetViews>
  <sheetFormatPr defaultColWidth="9.140625" defaultRowHeight="12.75"/>
  <cols>
    <col min="1" max="1" width="6.421875" style="0" hidden="1" customWidth="1"/>
    <col min="2" max="2" width="19.140625" style="0" customWidth="1"/>
    <col min="3" max="3" width="66.57421875" style="76" customWidth="1"/>
  </cols>
  <sheetData>
    <row r="1" ht="12.75">
      <c r="B1" s="11" t="s">
        <v>243</v>
      </c>
    </row>
    <row r="3" spans="2:11" s="1" customFormat="1" ht="14.25" customHeight="1">
      <c r="B3" s="11" t="s">
        <v>134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s="1" customFormat="1" ht="14.25" customHeight="1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s="1" customFormat="1" ht="12.75">
      <c r="B5" s="20" t="s">
        <v>163</v>
      </c>
      <c r="C5" s="20" t="s">
        <v>120</v>
      </c>
      <c r="D5" s="20"/>
      <c r="E5" s="20"/>
      <c r="F5" s="20"/>
      <c r="G5" s="20"/>
      <c r="H5" s="20"/>
      <c r="I5" s="20"/>
      <c r="J5" s="20"/>
      <c r="K5" s="20"/>
    </row>
    <row r="6" spans="2:11" s="1" customFormat="1" ht="12.75">
      <c r="B6" s="20" t="s">
        <v>164</v>
      </c>
      <c r="C6" s="20" t="s">
        <v>116</v>
      </c>
      <c r="D6" s="20"/>
      <c r="E6" s="20"/>
      <c r="F6" s="20"/>
      <c r="G6" s="20"/>
      <c r="H6" s="20"/>
      <c r="I6" s="20"/>
      <c r="J6" s="20"/>
      <c r="K6" s="20"/>
    </row>
    <row r="7" spans="2:11" s="1" customFormat="1" ht="12.75">
      <c r="B7" s="20" t="s">
        <v>165</v>
      </c>
      <c r="C7" s="20" t="s">
        <v>127</v>
      </c>
      <c r="D7" s="20"/>
      <c r="E7" s="20"/>
      <c r="F7" s="20"/>
      <c r="G7" s="20"/>
      <c r="H7" s="20"/>
      <c r="I7" s="20"/>
      <c r="J7" s="20"/>
      <c r="K7" s="20"/>
    </row>
    <row r="8" spans="2:11" s="1" customFormat="1" ht="12.75">
      <c r="B8" s="20" t="s">
        <v>240</v>
      </c>
      <c r="C8" s="23" t="s">
        <v>119</v>
      </c>
      <c r="D8" s="20"/>
      <c r="E8" s="20"/>
      <c r="F8" s="20"/>
      <c r="G8" s="20"/>
      <c r="H8" s="20"/>
      <c r="I8" s="20"/>
      <c r="J8" s="20"/>
      <c r="K8" s="20"/>
    </row>
    <row r="9" spans="2:11" s="1" customFormat="1" ht="12.75">
      <c r="B9" s="20" t="s">
        <v>275</v>
      </c>
      <c r="C9" s="89">
        <v>36647</v>
      </c>
      <c r="D9" s="20"/>
      <c r="E9" s="20"/>
      <c r="F9" s="20"/>
      <c r="G9" s="20"/>
      <c r="H9" s="20"/>
      <c r="I9" s="20"/>
      <c r="J9" s="20"/>
      <c r="K9" s="20"/>
    </row>
    <row r="10" spans="2:11" s="1" customFormat="1" ht="25.5">
      <c r="B10" s="62" t="s">
        <v>241</v>
      </c>
      <c r="C10" s="61" t="s">
        <v>124</v>
      </c>
      <c r="D10" s="20"/>
      <c r="E10" s="20"/>
      <c r="F10" s="20"/>
      <c r="G10" s="20"/>
      <c r="H10" s="20"/>
      <c r="I10" s="20"/>
      <c r="J10" s="20"/>
      <c r="K10" s="20"/>
    </row>
    <row r="11" spans="2:11" s="1" customFormat="1" ht="12.75">
      <c r="B11" s="20" t="s">
        <v>242</v>
      </c>
      <c r="C11" s="20" t="s">
        <v>160</v>
      </c>
      <c r="D11" s="20"/>
      <c r="E11" s="20"/>
      <c r="F11" s="20"/>
      <c r="G11" s="20"/>
      <c r="H11" s="20"/>
      <c r="I11" s="20"/>
      <c r="J11" s="20"/>
      <c r="K11" s="20"/>
    </row>
    <row r="12" spans="2:11" s="1" customFormat="1" ht="12.75"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2:11" s="1" customFormat="1" ht="12.75">
      <c r="B13" s="11" t="s">
        <v>133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2:11" s="1" customFormat="1" ht="12.75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s="1" customFormat="1" ht="12.75">
      <c r="B15" s="20" t="s">
        <v>163</v>
      </c>
      <c r="C15" s="20" t="s">
        <v>120</v>
      </c>
      <c r="D15" s="20"/>
      <c r="E15" s="20"/>
      <c r="F15" s="20"/>
      <c r="G15" s="20"/>
      <c r="H15" s="20"/>
      <c r="I15" s="20"/>
      <c r="J15" s="20"/>
      <c r="K15" s="20"/>
    </row>
    <row r="16" spans="2:11" s="1" customFormat="1" ht="12.75">
      <c r="B16" s="20" t="s">
        <v>164</v>
      </c>
      <c r="C16" s="20" t="s">
        <v>116</v>
      </c>
      <c r="D16" s="20"/>
      <c r="E16" s="20"/>
      <c r="F16" s="20"/>
      <c r="G16" s="20"/>
      <c r="H16" s="20"/>
      <c r="I16" s="20"/>
      <c r="J16" s="20"/>
      <c r="K16" s="20"/>
    </row>
    <row r="17" spans="2:11" s="1" customFormat="1" ht="12.75">
      <c r="B17" s="20" t="s">
        <v>165</v>
      </c>
      <c r="C17" s="20" t="s">
        <v>127</v>
      </c>
      <c r="D17" s="20"/>
      <c r="E17" s="20"/>
      <c r="F17" s="20"/>
      <c r="G17" s="20"/>
      <c r="H17" s="20"/>
      <c r="I17" s="20"/>
      <c r="J17" s="20"/>
      <c r="K17" s="20"/>
    </row>
    <row r="18" spans="2:11" s="1" customFormat="1" ht="12.75">
      <c r="B18" s="20" t="s">
        <v>240</v>
      </c>
      <c r="C18" s="23">
        <v>36651</v>
      </c>
      <c r="D18" s="20"/>
      <c r="E18" s="20"/>
      <c r="F18" s="20"/>
      <c r="G18" s="20"/>
      <c r="H18" s="20"/>
      <c r="I18" s="20"/>
      <c r="J18" s="20"/>
      <c r="K18" s="20"/>
    </row>
    <row r="19" spans="2:11" s="1" customFormat="1" ht="12.75">
      <c r="B19" s="20" t="s">
        <v>275</v>
      </c>
      <c r="C19" s="89">
        <v>36647</v>
      </c>
      <c r="D19" s="20"/>
      <c r="E19" s="20"/>
      <c r="F19" s="20"/>
      <c r="G19" s="20"/>
      <c r="H19" s="20"/>
      <c r="I19" s="20"/>
      <c r="J19" s="20"/>
      <c r="K19" s="20"/>
    </row>
    <row r="20" spans="2:11" s="1" customFormat="1" ht="12.75">
      <c r="B20" s="20" t="s">
        <v>241</v>
      </c>
      <c r="C20" s="23" t="s">
        <v>125</v>
      </c>
      <c r="D20" s="20"/>
      <c r="E20" s="20"/>
      <c r="F20" s="20"/>
      <c r="G20" s="20"/>
      <c r="H20" s="20"/>
      <c r="I20" s="20"/>
      <c r="J20" s="20"/>
      <c r="K20" s="20"/>
    </row>
    <row r="21" spans="2:11" s="1" customFormat="1" ht="12.75">
      <c r="B21" s="20" t="s">
        <v>242</v>
      </c>
      <c r="C21" s="23" t="s">
        <v>126</v>
      </c>
      <c r="D21" s="20"/>
      <c r="E21" s="20"/>
      <c r="F21" s="20"/>
      <c r="G21" s="20"/>
      <c r="H21" s="20"/>
      <c r="I21" s="20"/>
      <c r="J21" s="20"/>
      <c r="K21" s="20"/>
    </row>
    <row r="23" ht="12.75">
      <c r="B23" s="11" t="s">
        <v>162</v>
      </c>
    </row>
    <row r="25" spans="2:3" ht="25.5">
      <c r="B25" s="77" t="s">
        <v>163</v>
      </c>
      <c r="C25" s="78" t="s">
        <v>247</v>
      </c>
    </row>
    <row r="26" spans="2:3" ht="12.75">
      <c r="B26" t="s">
        <v>164</v>
      </c>
      <c r="C26" s="76" t="s">
        <v>249</v>
      </c>
    </row>
    <row r="27" ht="12.75">
      <c r="B27" t="s">
        <v>165</v>
      </c>
    </row>
    <row r="28" spans="1:3" ht="12.75">
      <c r="A28" t="s">
        <v>162</v>
      </c>
      <c r="B28" t="s">
        <v>166</v>
      </c>
      <c r="C28" s="76" t="s">
        <v>248</v>
      </c>
    </row>
    <row r="29" spans="1:3" ht="12.75">
      <c r="A29" t="s">
        <v>162</v>
      </c>
      <c r="B29" t="s">
        <v>240</v>
      </c>
      <c r="C29" s="76" t="s">
        <v>167</v>
      </c>
    </row>
    <row r="30" spans="2:3" ht="12.75">
      <c r="B30" t="s">
        <v>275</v>
      </c>
      <c r="C30" s="90">
        <v>34169</v>
      </c>
    </row>
    <row r="32" ht="12.75">
      <c r="B32" s="11" t="s">
        <v>168</v>
      </c>
    </row>
    <row r="34" spans="2:3" ht="25.5">
      <c r="B34" s="77" t="s">
        <v>163</v>
      </c>
      <c r="C34" s="78" t="s">
        <v>169</v>
      </c>
    </row>
    <row r="35" spans="2:3" ht="12.75">
      <c r="B35" t="s">
        <v>164</v>
      </c>
      <c r="C35" s="76" t="s">
        <v>170</v>
      </c>
    </row>
    <row r="36" spans="2:3" ht="12.75">
      <c r="B36" t="s">
        <v>165</v>
      </c>
      <c r="C36" s="76" t="s">
        <v>170</v>
      </c>
    </row>
    <row r="37" spans="1:3" ht="12.75">
      <c r="A37" t="s">
        <v>168</v>
      </c>
      <c r="B37" t="s">
        <v>166</v>
      </c>
      <c r="C37" s="76" t="s">
        <v>171</v>
      </c>
    </row>
    <row r="38" spans="2:3" ht="12.75">
      <c r="B38" t="s">
        <v>240</v>
      </c>
      <c r="C38" s="91">
        <v>34113</v>
      </c>
    </row>
    <row r="39" spans="2:3" ht="12.75">
      <c r="B39" t="s">
        <v>275</v>
      </c>
      <c r="C39" s="90">
        <v>34478</v>
      </c>
    </row>
    <row r="41" ht="12.75">
      <c r="B41" s="11" t="s">
        <v>172</v>
      </c>
    </row>
    <row r="43" spans="2:3" ht="25.5">
      <c r="B43" s="77" t="s">
        <v>163</v>
      </c>
      <c r="C43" s="78" t="s">
        <v>173</v>
      </c>
    </row>
    <row r="44" spans="2:3" ht="12.75">
      <c r="B44" t="s">
        <v>164</v>
      </c>
      <c r="C44" s="76" t="s">
        <v>174</v>
      </c>
    </row>
    <row r="45" ht="12.75">
      <c r="B45" t="s">
        <v>165</v>
      </c>
    </row>
    <row r="46" spans="1:3" ht="12.75">
      <c r="A46" t="s">
        <v>172</v>
      </c>
      <c r="B46" t="s">
        <v>166</v>
      </c>
      <c r="C46" s="76" t="s">
        <v>175</v>
      </c>
    </row>
    <row r="47" spans="1:3" ht="12.75">
      <c r="A47" t="s">
        <v>172</v>
      </c>
      <c r="B47" t="s">
        <v>240</v>
      </c>
      <c r="C47" s="76" t="s">
        <v>176</v>
      </c>
    </row>
    <row r="48" spans="2:3" ht="12.75">
      <c r="B48" t="s">
        <v>275</v>
      </c>
      <c r="C48" s="90">
        <v>34139</v>
      </c>
    </row>
    <row r="50" ht="12.75">
      <c r="B50" s="11" t="s">
        <v>177</v>
      </c>
    </row>
    <row r="52" spans="2:3" ht="25.5">
      <c r="B52" s="77" t="s">
        <v>163</v>
      </c>
      <c r="C52" s="78" t="s">
        <v>178</v>
      </c>
    </row>
    <row r="53" spans="2:3" ht="12.75">
      <c r="B53" t="s">
        <v>164</v>
      </c>
      <c r="C53" s="76" t="s">
        <v>170</v>
      </c>
    </row>
    <row r="54" spans="2:3" ht="12.75">
      <c r="B54" t="s">
        <v>165</v>
      </c>
      <c r="C54" s="76" t="s">
        <v>170</v>
      </c>
    </row>
    <row r="55" spans="1:3" ht="12.75">
      <c r="A55" t="s">
        <v>177</v>
      </c>
      <c r="B55" t="s">
        <v>166</v>
      </c>
      <c r="C55" s="76" t="s">
        <v>179</v>
      </c>
    </row>
    <row r="56" spans="2:3" ht="12.75">
      <c r="B56" t="s">
        <v>240</v>
      </c>
      <c r="C56" s="91">
        <v>34304</v>
      </c>
    </row>
    <row r="57" spans="2:3" ht="12.75">
      <c r="B57" t="s">
        <v>275</v>
      </c>
      <c r="C57" s="90">
        <v>34304</v>
      </c>
    </row>
    <row r="59" ht="12.75">
      <c r="B59" s="11" t="s">
        <v>180</v>
      </c>
    </row>
    <row r="61" spans="2:3" ht="25.5">
      <c r="B61" s="77" t="s">
        <v>163</v>
      </c>
      <c r="C61" s="78" t="s">
        <v>181</v>
      </c>
    </row>
    <row r="62" spans="2:3" ht="12.75">
      <c r="B62" t="s">
        <v>164</v>
      </c>
      <c r="C62" s="76" t="s">
        <v>182</v>
      </c>
    </row>
    <row r="63" spans="2:3" ht="12.75">
      <c r="B63" t="s">
        <v>165</v>
      </c>
      <c r="C63" s="76" t="s">
        <v>183</v>
      </c>
    </row>
    <row r="64" spans="1:3" ht="12.75">
      <c r="A64" t="s">
        <v>180</v>
      </c>
      <c r="B64" t="s">
        <v>166</v>
      </c>
      <c r="C64" s="76" t="s">
        <v>184</v>
      </c>
    </row>
    <row r="65" spans="2:3" ht="12.75">
      <c r="B65" t="s">
        <v>240</v>
      </c>
      <c r="C65" s="91">
        <v>35220</v>
      </c>
    </row>
    <row r="66" spans="2:3" ht="12.75">
      <c r="B66" t="s">
        <v>275</v>
      </c>
      <c r="C66" s="90">
        <v>35293</v>
      </c>
    </row>
    <row r="68" ht="12.75">
      <c r="B68" s="11" t="s">
        <v>185</v>
      </c>
    </row>
    <row r="70" spans="2:3" ht="25.5">
      <c r="B70" s="77" t="s">
        <v>163</v>
      </c>
      <c r="C70" s="78" t="s">
        <v>181</v>
      </c>
    </row>
    <row r="71" spans="2:3" ht="12.75">
      <c r="B71" t="s">
        <v>164</v>
      </c>
      <c r="C71" s="76" t="s">
        <v>182</v>
      </c>
    </row>
    <row r="72" spans="2:3" ht="12.75">
      <c r="B72" t="s">
        <v>165</v>
      </c>
      <c r="C72" s="76" t="s">
        <v>183</v>
      </c>
    </row>
    <row r="73" spans="1:3" ht="12.75">
      <c r="A73" t="s">
        <v>185</v>
      </c>
      <c r="B73" t="s">
        <v>166</v>
      </c>
      <c r="C73" s="76" t="s">
        <v>186</v>
      </c>
    </row>
    <row r="74" spans="1:3" ht="12.75">
      <c r="A74" t="s">
        <v>185</v>
      </c>
      <c r="B74" t="s">
        <v>240</v>
      </c>
      <c r="C74" s="76" t="s">
        <v>187</v>
      </c>
    </row>
    <row r="75" spans="2:3" ht="12.75">
      <c r="B75" t="s">
        <v>275</v>
      </c>
      <c r="C75" s="90">
        <v>35232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B1">
      <selection activeCell="C6" sqref="C6"/>
    </sheetView>
  </sheetViews>
  <sheetFormatPr defaultColWidth="9.140625" defaultRowHeight="12.75"/>
  <cols>
    <col min="1" max="1" width="4.28125" style="25" hidden="1" customWidth="1"/>
    <col min="2" max="2" width="21.140625" style="25" customWidth="1"/>
    <col min="3" max="3" width="6.140625" style="25" customWidth="1"/>
    <col min="4" max="4" width="8.8515625" style="12" customWidth="1"/>
    <col min="5" max="5" width="6.140625" style="12" customWidth="1"/>
    <col min="6" max="6" width="2.7109375" style="27" customWidth="1"/>
    <col min="7" max="7" width="10.00390625" style="25" customWidth="1"/>
    <col min="8" max="8" width="3.00390625" style="27" customWidth="1"/>
    <col min="9" max="9" width="9.7109375" style="26" customWidth="1"/>
    <col min="10" max="10" width="3.28125" style="27" customWidth="1"/>
    <col min="11" max="11" width="9.140625" style="25" customWidth="1"/>
    <col min="12" max="12" width="3.28125" style="25" customWidth="1"/>
    <col min="13" max="13" width="8.8515625" style="25" customWidth="1"/>
    <col min="14" max="14" width="2.140625" style="25" customWidth="1"/>
    <col min="15" max="16384" width="8.8515625" style="25" customWidth="1"/>
  </cols>
  <sheetData>
    <row r="1" spans="2:3" ht="12.75">
      <c r="B1" s="24" t="s">
        <v>253</v>
      </c>
      <c r="C1" s="24"/>
    </row>
    <row r="2" spans="2:12" ht="12.75">
      <c r="B2" s="27"/>
      <c r="C2" s="27"/>
      <c r="G2" s="27"/>
      <c r="I2" s="28"/>
      <c r="K2" s="27"/>
      <c r="L2" s="27"/>
    </row>
    <row r="3" spans="2:12" ht="12.75">
      <c r="B3" s="20"/>
      <c r="C3" s="20"/>
      <c r="G3" s="27"/>
      <c r="I3" s="28"/>
      <c r="K3" s="27"/>
      <c r="L3" s="27"/>
    </row>
    <row r="4" spans="1:13" ht="12.75">
      <c r="A4" s="25">
        <v>10</v>
      </c>
      <c r="B4" s="29" t="s">
        <v>134</v>
      </c>
      <c r="C4" s="29" t="s">
        <v>90</v>
      </c>
      <c r="G4" s="27" t="s">
        <v>188</v>
      </c>
      <c r="I4" s="28" t="s">
        <v>189</v>
      </c>
      <c r="K4" s="27" t="s">
        <v>190</v>
      </c>
      <c r="L4" s="27"/>
      <c r="M4" s="25" t="s">
        <v>161</v>
      </c>
    </row>
    <row r="5" spans="2:12" ht="12.75">
      <c r="B5" s="12"/>
      <c r="C5" s="12"/>
      <c r="D5" s="20"/>
      <c r="E5" s="20"/>
      <c r="F5" s="58"/>
      <c r="G5" s="20"/>
      <c r="H5" s="58"/>
      <c r="I5" s="30"/>
      <c r="J5" s="58"/>
      <c r="L5" s="27"/>
    </row>
    <row r="6" spans="2:13" ht="12.75">
      <c r="B6" s="12" t="s">
        <v>12</v>
      </c>
      <c r="C6" s="12" t="s">
        <v>270</v>
      </c>
      <c r="D6" s="12" t="s">
        <v>13</v>
      </c>
      <c r="E6" s="12" t="s">
        <v>14</v>
      </c>
      <c r="G6">
        <v>0.0144</v>
      </c>
      <c r="H6" s="66"/>
      <c r="I6">
        <v>0.0188</v>
      </c>
      <c r="J6" s="66"/>
      <c r="K6">
        <v>0.182</v>
      </c>
      <c r="L6" s="27"/>
      <c r="M6" s="63">
        <f>AVERAGE(I6,G6)</f>
        <v>0.0166</v>
      </c>
    </row>
    <row r="7" spans="2:13" ht="12.75">
      <c r="B7" s="12" t="s">
        <v>129</v>
      </c>
      <c r="C7" s="12" t="s">
        <v>270</v>
      </c>
      <c r="D7" s="12" t="s">
        <v>15</v>
      </c>
      <c r="E7" s="12" t="s">
        <v>14</v>
      </c>
      <c r="G7">
        <v>20.4</v>
      </c>
      <c r="H7" s="66"/>
      <c r="I7">
        <v>19.4</v>
      </c>
      <c r="J7" s="66"/>
      <c r="K7">
        <v>19.8</v>
      </c>
      <c r="L7" s="27"/>
      <c r="M7" s="31">
        <f>AVERAGE(K7,I7,G7)</f>
        <v>19.866666666666667</v>
      </c>
    </row>
    <row r="8" spans="2:13" ht="12.75">
      <c r="B8" s="12" t="s">
        <v>112</v>
      </c>
      <c r="C8" s="12" t="s">
        <v>270</v>
      </c>
      <c r="D8" s="12" t="s">
        <v>15</v>
      </c>
      <c r="E8" s="12" t="s">
        <v>14</v>
      </c>
      <c r="G8">
        <v>19.9</v>
      </c>
      <c r="H8" s="66"/>
      <c r="I8">
        <v>18.9</v>
      </c>
      <c r="J8" s="66"/>
      <c r="K8">
        <v>19.2</v>
      </c>
      <c r="L8" s="27"/>
      <c r="M8" s="31">
        <f>AVERAGE(K8,I8,G8)</f>
        <v>19.333333333333332</v>
      </c>
    </row>
    <row r="9" spans="2:13" ht="12.75">
      <c r="B9" s="12"/>
      <c r="C9" s="12"/>
      <c r="G9"/>
      <c r="H9" s="66"/>
      <c r="I9"/>
      <c r="J9" s="66"/>
      <c r="K9"/>
      <c r="L9" s="27"/>
      <c r="M9" s="31"/>
    </row>
    <row r="10" spans="2:13" ht="12.75">
      <c r="B10" s="20" t="s">
        <v>252</v>
      </c>
      <c r="C10" s="12"/>
      <c r="G10"/>
      <c r="H10" s="66"/>
      <c r="I10"/>
      <c r="J10" s="66"/>
      <c r="K10"/>
      <c r="L10" s="27"/>
      <c r="M10" s="31"/>
    </row>
    <row r="11" spans="2:13" ht="12.75">
      <c r="B11" s="12"/>
      <c r="C11" s="12"/>
      <c r="G11"/>
      <c r="H11" s="66"/>
      <c r="I11"/>
      <c r="J11" s="66"/>
      <c r="K11"/>
      <c r="L11" s="27"/>
      <c r="M11" s="31"/>
    </row>
    <row r="12" spans="2:13" ht="12.75">
      <c r="B12" s="12" t="s">
        <v>150</v>
      </c>
      <c r="C12" s="12"/>
      <c r="D12" s="12" t="s">
        <v>15</v>
      </c>
      <c r="E12" s="12" t="s">
        <v>152</v>
      </c>
      <c r="G12">
        <v>906.4</v>
      </c>
      <c r="H12" s="66"/>
      <c r="I12">
        <v>763.5</v>
      </c>
      <c r="J12" s="66"/>
      <c r="K12">
        <v>417.9</v>
      </c>
      <c r="L12" s="27"/>
      <c r="M12" s="31"/>
    </row>
    <row r="13" spans="2:13" ht="12.75">
      <c r="B13" s="12" t="s">
        <v>151</v>
      </c>
      <c r="C13" s="12"/>
      <c r="D13" s="12" t="s">
        <v>15</v>
      </c>
      <c r="E13" s="12" t="s">
        <v>152</v>
      </c>
      <c r="G13">
        <v>57.1</v>
      </c>
      <c r="H13" s="66"/>
      <c r="I13">
        <v>381.7</v>
      </c>
      <c r="J13" s="66"/>
      <c r="K13">
        <v>38.73</v>
      </c>
      <c r="L13" s="27"/>
      <c r="M13" s="31"/>
    </row>
    <row r="14" spans="2:13" ht="12.75">
      <c r="B14" s="12"/>
      <c r="C14" s="12"/>
      <c r="G14"/>
      <c r="H14" s="66"/>
      <c r="I14"/>
      <c r="J14" s="66"/>
      <c r="K14"/>
      <c r="L14" s="27"/>
      <c r="M14" s="31"/>
    </row>
    <row r="15" spans="2:13" ht="12.75">
      <c r="B15" s="12" t="s">
        <v>49</v>
      </c>
      <c r="C15" s="12"/>
      <c r="D15" s="12" t="s">
        <v>128</v>
      </c>
      <c r="G15">
        <v>1.882</v>
      </c>
      <c r="H15" s="66"/>
      <c r="I15">
        <v>4.229</v>
      </c>
      <c r="J15" s="66"/>
      <c r="K15">
        <v>0.403</v>
      </c>
      <c r="L15" s="27"/>
      <c r="M15" s="31"/>
    </row>
    <row r="16" spans="2:13" ht="12.75">
      <c r="B16" s="12" t="s">
        <v>50</v>
      </c>
      <c r="C16" s="12" t="s">
        <v>261</v>
      </c>
      <c r="G16"/>
      <c r="H16" s="66"/>
      <c r="I16"/>
      <c r="J16" s="66"/>
      <c r="K16"/>
      <c r="L16" s="27"/>
      <c r="M16" s="31"/>
    </row>
    <row r="17" spans="2:13" ht="12.75">
      <c r="B17" s="12"/>
      <c r="C17" s="12"/>
      <c r="G17" s="32"/>
      <c r="I17" s="33"/>
      <c r="K17" s="32"/>
      <c r="L17" s="27"/>
      <c r="M17" s="34"/>
    </row>
    <row r="18" spans="2:13" ht="12.75">
      <c r="B18" s="12" t="s">
        <v>80</v>
      </c>
      <c r="C18" s="12"/>
      <c r="D18" s="20" t="s">
        <v>130</v>
      </c>
      <c r="F18" s="66"/>
      <c r="G18">
        <v>0.254</v>
      </c>
      <c r="H18" s="66"/>
      <c r="I18">
        <v>0.07</v>
      </c>
      <c r="J18" s="66"/>
      <c r="K18">
        <v>0.116</v>
      </c>
      <c r="M18" s="35"/>
    </row>
    <row r="19" spans="2:13" ht="12.75">
      <c r="B19" s="12" t="s">
        <v>81</v>
      </c>
      <c r="C19" s="12"/>
      <c r="D19" s="20" t="s">
        <v>130</v>
      </c>
      <c r="F19" s="66"/>
      <c r="G19">
        <v>0.049</v>
      </c>
      <c r="H19" s="66"/>
      <c r="I19">
        <v>0.052</v>
      </c>
      <c r="J19" s="66"/>
      <c r="K19">
        <v>0.239</v>
      </c>
      <c r="L19" s="12"/>
      <c r="M19" s="35"/>
    </row>
    <row r="20" spans="2:13" ht="12.75">
      <c r="B20" s="12" t="s">
        <v>82</v>
      </c>
      <c r="C20" s="12"/>
      <c r="D20" s="20" t="s">
        <v>130</v>
      </c>
      <c r="F20" s="66"/>
      <c r="G20">
        <v>3.88</v>
      </c>
      <c r="H20" s="66"/>
      <c r="I20">
        <v>4.99</v>
      </c>
      <c r="J20" s="66"/>
      <c r="K20">
        <v>9.84</v>
      </c>
      <c r="L20" s="12"/>
      <c r="M20" s="35"/>
    </row>
    <row r="21" spans="2:13" ht="12.75">
      <c r="B21" s="12" t="s">
        <v>83</v>
      </c>
      <c r="C21" s="12"/>
      <c r="D21" s="20" t="s">
        <v>130</v>
      </c>
      <c r="F21" s="66"/>
      <c r="G21">
        <v>0.014</v>
      </c>
      <c r="H21" s="66"/>
      <c r="I21">
        <v>0.013</v>
      </c>
      <c r="J21" s="66"/>
      <c r="K21">
        <v>0.028</v>
      </c>
      <c r="L21" s="12"/>
      <c r="M21" s="35"/>
    </row>
    <row r="22" spans="2:13" ht="12.75">
      <c r="B22" s="12" t="s">
        <v>84</v>
      </c>
      <c r="C22" s="12"/>
      <c r="D22" s="20" t="s">
        <v>130</v>
      </c>
      <c r="F22" s="66"/>
      <c r="G22">
        <v>0.204</v>
      </c>
      <c r="H22" s="66"/>
      <c r="I22">
        <v>0.386</v>
      </c>
      <c r="J22" s="66"/>
      <c r="K22">
        <v>0.753</v>
      </c>
      <c r="L22" s="12"/>
      <c r="M22" s="35"/>
    </row>
    <row r="23" spans="2:13" ht="12.75">
      <c r="B23" s="12" t="s">
        <v>113</v>
      </c>
      <c r="C23" s="12"/>
      <c r="D23" s="20" t="s">
        <v>130</v>
      </c>
      <c r="F23" s="66"/>
      <c r="G23">
        <v>2.58</v>
      </c>
      <c r="H23" s="66"/>
      <c r="I23">
        <v>1.96</v>
      </c>
      <c r="J23" s="66"/>
      <c r="K23">
        <v>5.35</v>
      </c>
      <c r="L23" s="12"/>
      <c r="M23" s="35"/>
    </row>
    <row r="24" spans="2:13" ht="12.75">
      <c r="B24" s="12" t="s">
        <v>79</v>
      </c>
      <c r="C24" s="12"/>
      <c r="D24" s="20" t="s">
        <v>130</v>
      </c>
      <c r="F24" s="66"/>
      <c r="G24">
        <v>0.739</v>
      </c>
      <c r="H24" s="66"/>
      <c r="I24">
        <v>0.898</v>
      </c>
      <c r="J24" s="66"/>
      <c r="K24">
        <v>0.866</v>
      </c>
      <c r="L24" s="12"/>
      <c r="M24" s="35"/>
    </row>
    <row r="25" spans="2:13" ht="12.75">
      <c r="B25" s="12" t="s">
        <v>85</v>
      </c>
      <c r="C25" s="12"/>
      <c r="D25" s="20" t="s">
        <v>130</v>
      </c>
      <c r="F25" s="66"/>
      <c r="G25">
        <v>2.49</v>
      </c>
      <c r="H25" s="66"/>
      <c r="I25">
        <v>1.74</v>
      </c>
      <c r="J25" s="66"/>
      <c r="K25">
        <v>1.8</v>
      </c>
      <c r="L25" s="12"/>
      <c r="M25" s="35"/>
    </row>
    <row r="26" spans="2:13" ht="12.75">
      <c r="B26" s="12" t="s">
        <v>88</v>
      </c>
      <c r="C26" s="12"/>
      <c r="D26" s="20" t="s">
        <v>130</v>
      </c>
      <c r="F26" s="66"/>
      <c r="G26">
        <v>0.024</v>
      </c>
      <c r="H26" s="66"/>
      <c r="I26">
        <v>0.112</v>
      </c>
      <c r="J26" s="66"/>
      <c r="K26">
        <v>0.245</v>
      </c>
      <c r="L26" s="12"/>
      <c r="M26" s="35"/>
    </row>
    <row r="27" spans="2:13" ht="12.75">
      <c r="B27" s="12" t="s">
        <v>89</v>
      </c>
      <c r="C27" s="12"/>
      <c r="D27" s="20" t="s">
        <v>130</v>
      </c>
      <c r="F27" s="66"/>
      <c r="G27">
        <v>0.14</v>
      </c>
      <c r="H27" s="66"/>
      <c r="I27">
        <v>0.13</v>
      </c>
      <c r="J27" s="66"/>
      <c r="K27">
        <v>0.494</v>
      </c>
      <c r="L27" s="12"/>
      <c r="M27" s="35"/>
    </row>
    <row r="28" spans="2:13" ht="12.75">
      <c r="B28" s="12" t="s">
        <v>86</v>
      </c>
      <c r="C28" s="12"/>
      <c r="D28" s="20" t="s">
        <v>130</v>
      </c>
      <c r="F28" s="66"/>
      <c r="G28">
        <v>63.1</v>
      </c>
      <c r="H28" s="66"/>
      <c r="I28">
        <v>116</v>
      </c>
      <c r="J28" s="66"/>
      <c r="K28">
        <v>261</v>
      </c>
      <c r="L28" s="12"/>
      <c r="M28" s="35"/>
    </row>
    <row r="29" spans="2:13" ht="12.75">
      <c r="B29" s="12" t="s">
        <v>87</v>
      </c>
      <c r="C29" s="12"/>
      <c r="D29" s="20" t="s">
        <v>130</v>
      </c>
      <c r="F29" s="66"/>
      <c r="G29">
        <v>0.12</v>
      </c>
      <c r="H29" s="66"/>
      <c r="I29">
        <v>0.451</v>
      </c>
      <c r="J29" s="66"/>
      <c r="K29">
        <v>0.93</v>
      </c>
      <c r="L29" s="12"/>
      <c r="M29" s="35"/>
    </row>
    <row r="30" spans="2:13" ht="12.75">
      <c r="B30" s="12"/>
      <c r="C30" s="12"/>
      <c r="G30" s="32"/>
      <c r="I30" s="33"/>
      <c r="K30" s="32"/>
      <c r="L30" s="27"/>
      <c r="M30" s="34"/>
    </row>
    <row r="31" spans="2:13" ht="12.75">
      <c r="B31" s="12" t="s">
        <v>96</v>
      </c>
      <c r="C31" s="12" t="s">
        <v>91</v>
      </c>
      <c r="D31" s="12" t="s">
        <v>270</v>
      </c>
      <c r="L31" s="27"/>
      <c r="M31" s="35"/>
    </row>
    <row r="32" spans="2:13" ht="12.75">
      <c r="B32" s="12" t="s">
        <v>78</v>
      </c>
      <c r="C32" s="12"/>
      <c r="D32" s="12" t="s">
        <v>16</v>
      </c>
      <c r="G32">
        <v>94955</v>
      </c>
      <c r="H32" s="66"/>
      <c r="I32">
        <v>95789</v>
      </c>
      <c r="J32" s="66"/>
      <c r="K32">
        <v>97634</v>
      </c>
      <c r="L32" s="27"/>
      <c r="M32" s="34">
        <f>AVERAGE(K32,I32,G32)</f>
        <v>96126</v>
      </c>
    </row>
    <row r="33" spans="2:13" ht="12.75">
      <c r="B33" s="12" t="s">
        <v>93</v>
      </c>
      <c r="C33" s="12"/>
      <c r="D33" s="12" t="s">
        <v>17</v>
      </c>
      <c r="G33">
        <v>8.12</v>
      </c>
      <c r="H33" s="66"/>
      <c r="I33">
        <v>7.88</v>
      </c>
      <c r="J33" s="66"/>
      <c r="K33">
        <v>9.53</v>
      </c>
      <c r="M33" s="31">
        <f>AVERAGE(K33,I33,G33)</f>
        <v>8.51</v>
      </c>
    </row>
    <row r="34" spans="2:13" ht="12.75">
      <c r="B34" s="12" t="s">
        <v>94</v>
      </c>
      <c r="C34" s="12"/>
      <c r="D34" s="12" t="s">
        <v>17</v>
      </c>
      <c r="G34">
        <v>35.9</v>
      </c>
      <c r="H34" s="66"/>
      <c r="I34">
        <v>37.2</v>
      </c>
      <c r="J34" s="66"/>
      <c r="K34">
        <v>33</v>
      </c>
      <c r="M34" s="31">
        <f>AVERAGE(K34,I34,G34)</f>
        <v>35.36666666666667</v>
      </c>
    </row>
    <row r="35" spans="2:13" ht="12.75">
      <c r="B35" s="12" t="s">
        <v>77</v>
      </c>
      <c r="C35" s="12"/>
      <c r="D35" s="12" t="s">
        <v>18</v>
      </c>
      <c r="G35">
        <v>428</v>
      </c>
      <c r="H35" s="66"/>
      <c r="I35">
        <v>387</v>
      </c>
      <c r="J35" s="66"/>
      <c r="K35">
        <v>409</v>
      </c>
      <c r="M35" s="34">
        <f>AVERAGE(K35,I35,G35)</f>
        <v>408</v>
      </c>
    </row>
    <row r="36" spans="2:13" ht="12.75">
      <c r="B36" s="12"/>
      <c r="C36" s="12"/>
      <c r="G36" s="32"/>
      <c r="I36" s="33"/>
      <c r="K36" s="32"/>
      <c r="M36" s="35"/>
    </row>
    <row r="37" spans="2:13" ht="12.75">
      <c r="B37" s="12" t="s">
        <v>96</v>
      </c>
      <c r="C37" s="12" t="s">
        <v>109</v>
      </c>
      <c r="D37" s="12" t="s">
        <v>271</v>
      </c>
      <c r="G37" s="32"/>
      <c r="I37" s="33"/>
      <c r="K37" s="32"/>
      <c r="M37" s="35"/>
    </row>
    <row r="38" spans="2:13" ht="12.75">
      <c r="B38" s="12" t="s">
        <v>78</v>
      </c>
      <c r="C38" s="12"/>
      <c r="D38" s="12" t="s">
        <v>16</v>
      </c>
      <c r="G38">
        <v>86507</v>
      </c>
      <c r="H38" s="66"/>
      <c r="I38">
        <v>88023</v>
      </c>
      <c r="J38" s="66"/>
      <c r="K38">
        <v>87816</v>
      </c>
      <c r="M38" s="34">
        <f>AVERAGE(K38,I38,G38)</f>
        <v>87448.66666666667</v>
      </c>
    </row>
    <row r="39" spans="2:13" ht="12.75">
      <c r="B39" s="12" t="s">
        <v>93</v>
      </c>
      <c r="C39" s="12"/>
      <c r="D39" s="12" t="s">
        <v>17</v>
      </c>
      <c r="G39">
        <v>8.12</v>
      </c>
      <c r="H39" s="66"/>
      <c r="I39">
        <v>7.88</v>
      </c>
      <c r="J39" s="66"/>
      <c r="K39">
        <v>9.53</v>
      </c>
      <c r="M39" s="31">
        <f>AVERAGE(K39,I39,G39)</f>
        <v>8.51</v>
      </c>
    </row>
    <row r="40" spans="2:13" ht="12.75">
      <c r="B40" s="12" t="s">
        <v>94</v>
      </c>
      <c r="C40" s="12"/>
      <c r="D40" s="12" t="s">
        <v>17</v>
      </c>
      <c r="G40">
        <v>36.3</v>
      </c>
      <c r="H40" s="66"/>
      <c r="I40">
        <v>37.7</v>
      </c>
      <c r="J40" s="66"/>
      <c r="K40">
        <v>35.3</v>
      </c>
      <c r="M40" s="31">
        <f>AVERAGE(K40,I40,G40)</f>
        <v>36.43333333333333</v>
      </c>
    </row>
    <row r="41" spans="2:13" ht="12.75">
      <c r="B41" s="12" t="s">
        <v>77</v>
      </c>
      <c r="C41" s="12"/>
      <c r="D41" s="12" t="s">
        <v>18</v>
      </c>
      <c r="G41">
        <v>423</v>
      </c>
      <c r="H41" s="66"/>
      <c r="I41">
        <v>383</v>
      </c>
      <c r="J41" s="66"/>
      <c r="K41">
        <v>400</v>
      </c>
      <c r="M41" s="34">
        <f>AVERAGE(K41,I41,G41)</f>
        <v>402</v>
      </c>
    </row>
    <row r="42" spans="2:13" ht="12.75">
      <c r="B42" s="12"/>
      <c r="C42" s="12"/>
      <c r="G42" s="32"/>
      <c r="I42" s="33"/>
      <c r="K42" s="32"/>
      <c r="M42" s="35"/>
    </row>
    <row r="43" spans="2:13" ht="12.75">
      <c r="B43" s="12" t="s">
        <v>49</v>
      </c>
      <c r="C43" s="12" t="s">
        <v>270</v>
      </c>
      <c r="D43" s="12" t="s">
        <v>15</v>
      </c>
      <c r="E43" s="12" t="s">
        <v>14</v>
      </c>
      <c r="G43" s="13">
        <f>G15*60/G32*1000000/0.0283/1518*(21-7)/(21-G$33)</f>
        <v>30.08894752664622</v>
      </c>
      <c r="H43" s="67"/>
      <c r="I43" s="13">
        <f>I15*60/I32*1000000/0.0283/1518*(21-7)/(21-I$33)</f>
        <v>65.79748438267141</v>
      </c>
      <c r="J43" s="67"/>
      <c r="K43" s="13">
        <f>K15*60/K32*1000000/0.0283/1518*(21-7)/(21-K$33)</f>
        <v>7.036579922106952</v>
      </c>
      <c r="L43" s="13"/>
      <c r="M43" s="13">
        <f>AVERAGE(K43,I43,G43)</f>
        <v>34.307670610474865</v>
      </c>
    </row>
    <row r="44" spans="2:13" ht="12.75">
      <c r="B44" s="12" t="s">
        <v>50</v>
      </c>
      <c r="C44" s="12" t="s">
        <v>270</v>
      </c>
      <c r="D44" s="12" t="s">
        <v>15</v>
      </c>
      <c r="E44" s="12" t="s">
        <v>14</v>
      </c>
      <c r="G44" s="13">
        <v>1</v>
      </c>
      <c r="H44" s="67"/>
      <c r="I44" s="13">
        <v>1</v>
      </c>
      <c r="J44" s="67"/>
      <c r="K44" s="13">
        <v>1</v>
      </c>
      <c r="L44" s="13"/>
      <c r="M44" s="13">
        <f>AVERAGE(K44,I44,G44)</f>
        <v>1</v>
      </c>
    </row>
    <row r="45" spans="2:13" ht="12.75">
      <c r="B45" s="12" t="s">
        <v>95</v>
      </c>
      <c r="C45" s="12" t="s">
        <v>270</v>
      </c>
      <c r="D45" s="12" t="s">
        <v>15</v>
      </c>
      <c r="E45" s="12" t="s">
        <v>14</v>
      </c>
      <c r="G45" s="14">
        <f>G43+2*G44</f>
        <v>32.08894752664622</v>
      </c>
      <c r="H45" s="68"/>
      <c r="I45" s="14">
        <f>I43+2*I44</f>
        <v>67.79748438267141</v>
      </c>
      <c r="J45" s="68"/>
      <c r="K45" s="14">
        <f>K43+2*K44</f>
        <v>9.036579922106952</v>
      </c>
      <c r="L45" s="14"/>
      <c r="M45" s="13">
        <f>AVERAGE(K45,I45,G45)</f>
        <v>36.307670610474865</v>
      </c>
    </row>
    <row r="46" spans="2:13" ht="12.75">
      <c r="B46" s="12"/>
      <c r="C46" s="12"/>
      <c r="G46" s="14"/>
      <c r="H46" s="68"/>
      <c r="I46" s="14"/>
      <c r="J46" s="68"/>
      <c r="K46" s="14"/>
      <c r="L46" s="14"/>
      <c r="M46" s="13"/>
    </row>
    <row r="47" spans="2:13" ht="12.75">
      <c r="B47" s="12" t="s">
        <v>80</v>
      </c>
      <c r="C47" s="12" t="s">
        <v>271</v>
      </c>
      <c r="D47" s="20" t="s">
        <v>54</v>
      </c>
      <c r="E47" s="12" t="s">
        <v>14</v>
      </c>
      <c r="F47" s="66"/>
      <c r="G47" s="65">
        <f>G18/60*1000000/G$38/0.0283*(21-7)/(21-G$39)</f>
        <v>1.8795632810622525</v>
      </c>
      <c r="H47" s="66"/>
      <c r="I47" s="65">
        <f>I18/60*1000000/I$38/0.0283*(21-7)/(21-I$39)</f>
        <v>0.4997564277739134</v>
      </c>
      <c r="J47" s="66"/>
      <c r="K47" s="65">
        <f aca="true" t="shared" si="0" ref="K47:K58">K18/60*1000000/K$38/0.0283*(21-7)/(21-K$39)</f>
        <v>0.949535639235991</v>
      </c>
      <c r="M47" s="13">
        <f aca="true" t="shared" si="1" ref="M47:M58">AVERAGE(K47,I47,G47)</f>
        <v>1.1096184493573855</v>
      </c>
    </row>
    <row r="48" spans="2:13" ht="12.75">
      <c r="B48" s="12" t="s">
        <v>81</v>
      </c>
      <c r="C48" s="12" t="s">
        <v>271</v>
      </c>
      <c r="D48" s="20" t="s">
        <v>54</v>
      </c>
      <c r="E48" s="12" t="s">
        <v>14</v>
      </c>
      <c r="F48" s="66"/>
      <c r="G48" s="65">
        <f aca="true" t="shared" si="2" ref="G48:I58">G19/60*1000000/G$38/0.0283*(21-7)/(21-G$39)</f>
        <v>0.36259291642539515</v>
      </c>
      <c r="H48" s="66"/>
      <c r="I48" s="65">
        <f t="shared" si="2"/>
        <v>0.3712476320606214</v>
      </c>
      <c r="J48" s="66"/>
      <c r="K48" s="65">
        <f t="shared" si="0"/>
        <v>1.9563708429086366</v>
      </c>
      <c r="L48" s="12"/>
      <c r="M48" s="13">
        <f t="shared" si="1"/>
        <v>0.8967371304648845</v>
      </c>
    </row>
    <row r="49" spans="2:13" ht="12.75">
      <c r="B49" s="12" t="s">
        <v>82</v>
      </c>
      <c r="C49" s="12" t="s">
        <v>271</v>
      </c>
      <c r="D49" s="20" t="s">
        <v>54</v>
      </c>
      <c r="E49" s="12" t="s">
        <v>14</v>
      </c>
      <c r="F49" s="66"/>
      <c r="G49" s="65">
        <f t="shared" si="2"/>
        <v>28.71143909654149</v>
      </c>
      <c r="H49" s="66"/>
      <c r="I49" s="65">
        <f t="shared" si="2"/>
        <v>35.6254939227404</v>
      </c>
      <c r="J49" s="66"/>
      <c r="K49" s="65">
        <f t="shared" si="0"/>
        <v>80.54681629381164</v>
      </c>
      <c r="L49" s="12"/>
      <c r="M49" s="13">
        <f t="shared" si="1"/>
        <v>48.294583104364506</v>
      </c>
    </row>
    <row r="50" spans="2:13" ht="12.75">
      <c r="B50" s="12" t="s">
        <v>83</v>
      </c>
      <c r="C50" s="12" t="s">
        <v>271</v>
      </c>
      <c r="D50" s="20" t="s">
        <v>54</v>
      </c>
      <c r="E50" s="12" t="s">
        <v>14</v>
      </c>
      <c r="F50" s="66"/>
      <c r="G50" s="65">
        <f t="shared" si="2"/>
        <v>0.10359797612154147</v>
      </c>
      <c r="H50" s="66"/>
      <c r="I50" s="65">
        <f t="shared" si="2"/>
        <v>0.09281190801515535</v>
      </c>
      <c r="J50" s="66"/>
      <c r="K50" s="65">
        <f t="shared" si="0"/>
        <v>0.2291982577466185</v>
      </c>
      <c r="L50" s="12"/>
      <c r="M50" s="13">
        <f t="shared" si="1"/>
        <v>0.1418693806277718</v>
      </c>
    </row>
    <row r="51" spans="2:13" ht="12.75">
      <c r="B51" s="12" t="s">
        <v>84</v>
      </c>
      <c r="C51" s="12" t="s">
        <v>271</v>
      </c>
      <c r="D51" s="20" t="s">
        <v>54</v>
      </c>
      <c r="E51" s="12" t="s">
        <v>14</v>
      </c>
      <c r="F51" s="66"/>
      <c r="G51" s="65">
        <f t="shared" si="2"/>
        <v>1.5095705091996043</v>
      </c>
      <c r="H51" s="66"/>
      <c r="I51" s="65">
        <f t="shared" si="2"/>
        <v>2.7557997302961508</v>
      </c>
      <c r="J51" s="66"/>
      <c r="K51" s="65">
        <f t="shared" si="0"/>
        <v>6.163796002971562</v>
      </c>
      <c r="L51" s="12"/>
      <c r="M51" s="13">
        <f t="shared" si="1"/>
        <v>3.4763887474891058</v>
      </c>
    </row>
    <row r="52" spans="2:13" ht="12.75">
      <c r="B52" s="12" t="s">
        <v>113</v>
      </c>
      <c r="C52" s="12" t="s">
        <v>271</v>
      </c>
      <c r="D52" s="20" t="s">
        <v>54</v>
      </c>
      <c r="E52" s="12" t="s">
        <v>14</v>
      </c>
      <c r="F52" s="66"/>
      <c r="G52" s="65">
        <f t="shared" si="2"/>
        <v>19.09162702811264</v>
      </c>
      <c r="H52" s="66"/>
      <c r="I52" s="65">
        <f t="shared" si="2"/>
        <v>13.993179977669572</v>
      </c>
      <c r="J52" s="66"/>
      <c r="K52" s="65">
        <f t="shared" si="0"/>
        <v>43.793238533728896</v>
      </c>
      <c r="L52" s="12"/>
      <c r="M52" s="13">
        <f t="shared" si="1"/>
        <v>25.626015179837037</v>
      </c>
    </row>
    <row r="53" spans="2:13" ht="12.75">
      <c r="B53" s="12" t="s">
        <v>79</v>
      </c>
      <c r="C53" s="12" t="s">
        <v>271</v>
      </c>
      <c r="D53" s="20" t="s">
        <v>54</v>
      </c>
      <c r="E53" s="12" t="s">
        <v>14</v>
      </c>
      <c r="F53" s="66"/>
      <c r="G53" s="65">
        <f t="shared" si="2"/>
        <v>5.468493168129938</v>
      </c>
      <c r="H53" s="66"/>
      <c r="I53" s="65">
        <f t="shared" si="2"/>
        <v>6.411161030585346</v>
      </c>
      <c r="J53" s="66"/>
      <c r="K53" s="65">
        <f t="shared" si="0"/>
        <v>7.088774686020415</v>
      </c>
      <c r="L53" s="12"/>
      <c r="M53" s="13">
        <f t="shared" si="1"/>
        <v>6.322809628245232</v>
      </c>
    </row>
    <row r="54" spans="2:13" ht="12.75">
      <c r="B54" s="12" t="s">
        <v>85</v>
      </c>
      <c r="C54" s="12" t="s">
        <v>271</v>
      </c>
      <c r="D54" s="20" t="s">
        <v>54</v>
      </c>
      <c r="E54" s="12" t="s">
        <v>14</v>
      </c>
      <c r="F54" s="66"/>
      <c r="G54" s="65">
        <f t="shared" si="2"/>
        <v>18.425640038759873</v>
      </c>
      <c r="H54" s="66"/>
      <c r="I54" s="65">
        <f t="shared" si="2"/>
        <v>12.42251691895156</v>
      </c>
      <c r="J54" s="66"/>
      <c r="K54" s="65">
        <f t="shared" si="0"/>
        <v>14.734173712282622</v>
      </c>
      <c r="L54" s="12"/>
      <c r="M54" s="31">
        <f t="shared" si="1"/>
        <v>15.194110223331352</v>
      </c>
    </row>
    <row r="55" spans="2:13" ht="12.75">
      <c r="B55" s="12" t="s">
        <v>88</v>
      </c>
      <c r="C55" s="12" t="s">
        <v>271</v>
      </c>
      <c r="D55" s="20" t="s">
        <v>54</v>
      </c>
      <c r="E55" s="12" t="s">
        <v>14</v>
      </c>
      <c r="F55" s="66"/>
      <c r="G55" s="65">
        <f t="shared" si="2"/>
        <v>0.17759653049407106</v>
      </c>
      <c r="H55" s="66"/>
      <c r="I55" s="65">
        <f t="shared" si="2"/>
        <v>0.7996102844382614</v>
      </c>
      <c r="J55" s="66"/>
      <c r="K55" s="65">
        <f t="shared" si="0"/>
        <v>2.0054847552829114</v>
      </c>
      <c r="L55" s="12"/>
      <c r="M55" s="13">
        <f t="shared" si="1"/>
        <v>0.9942305234050813</v>
      </c>
    </row>
    <row r="56" spans="2:13" ht="12.75">
      <c r="B56" s="12" t="s">
        <v>89</v>
      </c>
      <c r="C56" s="12" t="s">
        <v>271</v>
      </c>
      <c r="D56" s="20" t="s">
        <v>54</v>
      </c>
      <c r="E56" s="12" t="s">
        <v>14</v>
      </c>
      <c r="F56" s="66"/>
      <c r="G56" s="65">
        <f t="shared" si="2"/>
        <v>1.0359797612154145</v>
      </c>
      <c r="H56" s="66"/>
      <c r="I56" s="65">
        <f t="shared" si="2"/>
        <v>0.9281190801515533</v>
      </c>
      <c r="J56" s="66"/>
      <c r="K56" s="65">
        <f t="shared" si="0"/>
        <v>4.043712118815341</v>
      </c>
      <c r="L56" s="12"/>
      <c r="M56" s="13">
        <f t="shared" si="1"/>
        <v>2.002603653394103</v>
      </c>
    </row>
    <row r="57" spans="2:13" ht="12.75">
      <c r="B57" s="12" t="s">
        <v>86</v>
      </c>
      <c r="C57" s="12" t="s">
        <v>271</v>
      </c>
      <c r="D57" s="20" t="s">
        <v>54</v>
      </c>
      <c r="E57" s="12" t="s">
        <v>14</v>
      </c>
      <c r="F57" s="66"/>
      <c r="G57" s="65">
        <f t="shared" si="2"/>
        <v>466.93087809066185</v>
      </c>
      <c r="H57" s="66"/>
      <c r="I57" s="65">
        <f t="shared" si="2"/>
        <v>828.1677945967707</v>
      </c>
      <c r="J57" s="66"/>
      <c r="K57" s="65">
        <f t="shared" si="0"/>
        <v>2136.4551882809797</v>
      </c>
      <c r="L57" s="12"/>
      <c r="M57" s="13">
        <f t="shared" si="1"/>
        <v>1143.8512869894707</v>
      </c>
    </row>
    <row r="58" spans="2:13" ht="12.75">
      <c r="B58" s="12" t="s">
        <v>87</v>
      </c>
      <c r="C58" s="12" t="s">
        <v>271</v>
      </c>
      <c r="D58" s="20" t="s">
        <v>54</v>
      </c>
      <c r="E58" s="12" t="s">
        <v>14</v>
      </c>
      <c r="F58" s="66"/>
      <c r="G58" s="65">
        <f t="shared" si="2"/>
        <v>0.8879826524703555</v>
      </c>
      <c r="H58" s="66"/>
      <c r="I58" s="65">
        <f t="shared" si="2"/>
        <v>3.2198592703719275</v>
      </c>
      <c r="J58" s="66"/>
      <c r="K58" s="65">
        <f t="shared" si="0"/>
        <v>7.612656418012686</v>
      </c>
      <c r="L58" s="12"/>
      <c r="M58" s="13">
        <f t="shared" si="1"/>
        <v>3.90683278028499</v>
      </c>
    </row>
    <row r="59" spans="2:13" ht="12.75">
      <c r="B59" s="12"/>
      <c r="C59" s="12"/>
      <c r="D59" s="20"/>
      <c r="F59" s="66"/>
      <c r="G59" s="65"/>
      <c r="H59" s="66"/>
      <c r="I59" s="65"/>
      <c r="J59" s="66"/>
      <c r="K59" s="65"/>
      <c r="L59" s="12"/>
      <c r="M59" s="31"/>
    </row>
    <row r="60" spans="2:13" ht="12.75">
      <c r="B60" s="12" t="s">
        <v>55</v>
      </c>
      <c r="C60" s="12" t="s">
        <v>271</v>
      </c>
      <c r="D60" s="20" t="s">
        <v>54</v>
      </c>
      <c r="E60" s="12" t="s">
        <v>14</v>
      </c>
      <c r="F60" s="66"/>
      <c r="G60" s="65">
        <f>G53+G51</f>
        <v>6.978063677329542</v>
      </c>
      <c r="H60" s="66"/>
      <c r="I60" s="65">
        <f>I53+I51</f>
        <v>9.166960760881496</v>
      </c>
      <c r="J60" s="66"/>
      <c r="K60" s="65">
        <f>K53+K51</f>
        <v>13.252570688991977</v>
      </c>
      <c r="L60" s="12"/>
      <c r="M60" s="31">
        <f>AVERAGE(K60,I60,G60)</f>
        <v>9.79919837573434</v>
      </c>
    </row>
    <row r="61" spans="2:13" ht="12.75">
      <c r="B61" s="12" t="s">
        <v>56</v>
      </c>
      <c r="C61" s="12" t="s">
        <v>271</v>
      </c>
      <c r="D61" s="20" t="s">
        <v>54</v>
      </c>
      <c r="E61" s="12" t="s">
        <v>14</v>
      </c>
      <c r="F61" s="66"/>
      <c r="G61" s="65">
        <f>G48+G52+G50</f>
        <v>19.557817920659577</v>
      </c>
      <c r="H61" s="66"/>
      <c r="I61" s="65">
        <f>I48+I52+I50</f>
        <v>14.457239517745348</v>
      </c>
      <c r="J61" s="66"/>
      <c r="K61" s="65">
        <f>K48+K52+K50</f>
        <v>45.97880763438415</v>
      </c>
      <c r="L61" s="12"/>
      <c r="M61" s="31">
        <f>AVERAGE(K61,I61,G61)</f>
        <v>26.664621690929692</v>
      </c>
    </row>
    <row r="62" spans="2:13" ht="13.5" customHeight="1">
      <c r="B62" s="12"/>
      <c r="C62" s="12"/>
      <c r="G62" s="32"/>
      <c r="I62" s="33"/>
      <c r="K62" s="32"/>
      <c r="M62" s="35"/>
    </row>
    <row r="63" spans="1:13" ht="12.75">
      <c r="A63" s="25">
        <v>11</v>
      </c>
      <c r="B63" s="29" t="s">
        <v>133</v>
      </c>
      <c r="C63" s="29"/>
      <c r="G63" s="27" t="s">
        <v>188</v>
      </c>
      <c r="I63" s="28" t="s">
        <v>189</v>
      </c>
      <c r="K63" s="27" t="s">
        <v>190</v>
      </c>
      <c r="L63" s="27"/>
      <c r="M63" s="25" t="s">
        <v>161</v>
      </c>
    </row>
    <row r="64" spans="2:13" ht="12.75">
      <c r="B64" s="12"/>
      <c r="C64" s="12"/>
      <c r="G64" s="32"/>
      <c r="I64" s="33"/>
      <c r="K64" s="32"/>
      <c r="M64" s="35"/>
    </row>
    <row r="65" spans="2:13" ht="12.75">
      <c r="B65" s="12" t="s">
        <v>111</v>
      </c>
      <c r="C65" s="12" t="s">
        <v>270</v>
      </c>
      <c r="D65" s="12" t="s">
        <v>15</v>
      </c>
      <c r="E65" s="12" t="s">
        <v>14</v>
      </c>
      <c r="G65">
        <v>384</v>
      </c>
      <c r="H65" s="66"/>
      <c r="I65">
        <v>371</v>
      </c>
      <c r="J65" s="66"/>
      <c r="K65">
        <v>397</v>
      </c>
      <c r="L65" s="27"/>
      <c r="M65" s="31">
        <f>AVERAGE(K65,I65,G65)</f>
        <v>384</v>
      </c>
    </row>
    <row r="66" spans="2:13" ht="12.75">
      <c r="B66" s="12" t="s">
        <v>110</v>
      </c>
      <c r="C66" s="12" t="s">
        <v>270</v>
      </c>
      <c r="D66" s="12" t="s">
        <v>15</v>
      </c>
      <c r="E66" s="12" t="s">
        <v>14</v>
      </c>
      <c r="G66">
        <v>409</v>
      </c>
      <c r="H66" s="66"/>
      <c r="I66">
        <v>388</v>
      </c>
      <c r="J66" s="66"/>
      <c r="K66">
        <v>414</v>
      </c>
      <c r="L66" s="27"/>
      <c r="M66" s="31">
        <f>AVERAGE(K66,I66,G66)</f>
        <v>403.6666666666667</v>
      </c>
    </row>
    <row r="67" spans="2:13" ht="12.75">
      <c r="B67" s="12" t="s">
        <v>112</v>
      </c>
      <c r="C67" s="12" t="s">
        <v>270</v>
      </c>
      <c r="D67" s="12" t="s">
        <v>15</v>
      </c>
      <c r="E67" s="12" t="s">
        <v>14</v>
      </c>
      <c r="G67">
        <v>18.7</v>
      </c>
      <c r="H67" s="66"/>
      <c r="I67">
        <v>19</v>
      </c>
      <c r="J67" s="66"/>
      <c r="K67">
        <v>19</v>
      </c>
      <c r="L67" s="27"/>
      <c r="M67" s="31">
        <f>AVERAGE(K67,I67,G67)</f>
        <v>18.900000000000002</v>
      </c>
    </row>
    <row r="68" spans="2:13" ht="12.75">
      <c r="B68" s="12" t="s">
        <v>129</v>
      </c>
      <c r="C68" s="12" t="s">
        <v>270</v>
      </c>
      <c r="D68" s="12" t="s">
        <v>15</v>
      </c>
      <c r="E68" s="12" t="s">
        <v>14</v>
      </c>
      <c r="G68" s="32">
        <v>19.4</v>
      </c>
      <c r="I68" s="33">
        <v>19.4</v>
      </c>
      <c r="K68" s="32">
        <v>19.4</v>
      </c>
      <c r="L68" s="27"/>
      <c r="M68" s="31">
        <f>AVERAGE(K68,I68,G68)</f>
        <v>19.4</v>
      </c>
    </row>
    <row r="69" spans="2:13" ht="12.75">
      <c r="B69" s="12"/>
      <c r="C69" s="12"/>
      <c r="G69" s="32"/>
      <c r="I69" s="33"/>
      <c r="K69" s="32"/>
      <c r="L69" s="27"/>
      <c r="M69" s="34"/>
    </row>
    <row r="70" spans="2:13" ht="12.75">
      <c r="B70" s="12" t="s">
        <v>150</v>
      </c>
      <c r="C70" s="12"/>
      <c r="D70" s="12" t="s">
        <v>15</v>
      </c>
      <c r="E70" s="12" t="s">
        <v>152</v>
      </c>
      <c r="G70" s="32">
        <v>881.9</v>
      </c>
      <c r="I70" s="33">
        <v>916.9</v>
      </c>
      <c r="K70" s="32">
        <v>626.2</v>
      </c>
      <c r="L70" s="27"/>
      <c r="M70" s="34"/>
    </row>
    <row r="71" spans="2:13" ht="12.75">
      <c r="B71" s="12" t="s">
        <v>151</v>
      </c>
      <c r="C71" s="12"/>
      <c r="D71" s="12" t="s">
        <v>15</v>
      </c>
      <c r="E71" s="12" t="s">
        <v>152</v>
      </c>
      <c r="G71" s="32">
        <v>204.5</v>
      </c>
      <c r="I71" s="33">
        <v>181.3</v>
      </c>
      <c r="K71" s="32">
        <v>83.4</v>
      </c>
      <c r="L71" s="27"/>
      <c r="M71" s="34"/>
    </row>
    <row r="72" spans="2:13" ht="12.75">
      <c r="B72" s="12"/>
      <c r="C72" s="12"/>
      <c r="D72" s="20"/>
      <c r="I72" s="25"/>
      <c r="M72" s="35"/>
    </row>
    <row r="73" spans="2:13" ht="12.75">
      <c r="B73" s="12" t="s">
        <v>69</v>
      </c>
      <c r="C73" s="12" t="s">
        <v>135</v>
      </c>
      <c r="G73" s="32"/>
      <c r="I73" s="33"/>
      <c r="K73" s="32"/>
      <c r="M73" s="35"/>
    </row>
    <row r="74" spans="2:13" ht="12.75">
      <c r="B74" s="12" t="s">
        <v>92</v>
      </c>
      <c r="C74" s="12"/>
      <c r="D74" s="12" t="s">
        <v>130</v>
      </c>
      <c r="G74">
        <v>67977</v>
      </c>
      <c r="H74" s="66"/>
      <c r="I74">
        <v>67973</v>
      </c>
      <c r="J74" s="66"/>
      <c r="K74">
        <v>67977</v>
      </c>
      <c r="M74" s="35"/>
    </row>
    <row r="75" spans="2:13" ht="12.75">
      <c r="B75" s="12" t="s">
        <v>108</v>
      </c>
      <c r="C75" s="12"/>
      <c r="D75" s="12" t="s">
        <v>130</v>
      </c>
      <c r="G75">
        <v>4.31</v>
      </c>
      <c r="H75" s="66"/>
      <c r="I75">
        <v>4.22</v>
      </c>
      <c r="J75" s="66"/>
      <c r="K75">
        <v>4.13</v>
      </c>
      <c r="M75" s="35"/>
    </row>
    <row r="76" spans="2:13" ht="12.75">
      <c r="B76" s="12" t="s">
        <v>51</v>
      </c>
      <c r="C76" s="12"/>
      <c r="D76" s="12" t="s">
        <v>17</v>
      </c>
      <c r="G76">
        <v>99.9937</v>
      </c>
      <c r="H76" s="66"/>
      <c r="I76">
        <v>99.9938</v>
      </c>
      <c r="J76" s="66"/>
      <c r="K76">
        <v>99.9938</v>
      </c>
      <c r="M76" s="35"/>
    </row>
    <row r="77" spans="2:13" ht="12.75">
      <c r="B77" s="12"/>
      <c r="C77" s="12"/>
      <c r="G77" s="32"/>
      <c r="I77" s="33"/>
      <c r="K77" s="32"/>
      <c r="M77" s="35"/>
    </row>
    <row r="78" spans="2:13" ht="12.75">
      <c r="B78" s="12" t="s">
        <v>69</v>
      </c>
      <c r="C78" s="12" t="s">
        <v>136</v>
      </c>
      <c r="G78" s="32"/>
      <c r="I78" s="33"/>
      <c r="K78" s="32"/>
      <c r="M78" s="35"/>
    </row>
    <row r="79" spans="2:11" ht="12.75">
      <c r="B79" s="12" t="s">
        <v>92</v>
      </c>
      <c r="C79" s="12"/>
      <c r="D79" s="12" t="s">
        <v>130</v>
      </c>
      <c r="G79">
        <v>92931</v>
      </c>
      <c r="H79" s="66"/>
      <c r="I79">
        <v>92931</v>
      </c>
      <c r="J79" s="66"/>
      <c r="K79">
        <v>115545</v>
      </c>
    </row>
    <row r="80" spans="2:11" ht="12.75">
      <c r="B80" s="12" t="s">
        <v>108</v>
      </c>
      <c r="C80" s="12" t="s">
        <v>270</v>
      </c>
      <c r="D80" s="12" t="s">
        <v>130</v>
      </c>
      <c r="F80" s="27" t="s">
        <v>28</v>
      </c>
      <c r="G80">
        <v>1.04</v>
      </c>
      <c r="H80" s="66" t="s">
        <v>28</v>
      </c>
      <c r="I80">
        <v>0.86</v>
      </c>
      <c r="J80" s="66" t="s">
        <v>28</v>
      </c>
      <c r="K80">
        <v>1</v>
      </c>
    </row>
    <row r="81" spans="2:11" ht="12.75">
      <c r="B81" s="12" t="s">
        <v>51</v>
      </c>
      <c r="C81" s="12" t="s">
        <v>270</v>
      </c>
      <c r="D81" s="12" t="s">
        <v>17</v>
      </c>
      <c r="F81" s="27" t="s">
        <v>138</v>
      </c>
      <c r="G81">
        <v>99.9989</v>
      </c>
      <c r="H81" s="66" t="s">
        <v>138</v>
      </c>
      <c r="I81">
        <v>99.9991</v>
      </c>
      <c r="J81" s="66" t="s">
        <v>138</v>
      </c>
      <c r="K81">
        <v>99.9991</v>
      </c>
    </row>
    <row r="82" spans="2:13" ht="12.75">
      <c r="B82" s="12"/>
      <c r="C82" s="12"/>
      <c r="G82"/>
      <c r="H82" s="66"/>
      <c r="I82"/>
      <c r="J82" s="66"/>
      <c r="K82"/>
      <c r="M82" s="35"/>
    </row>
    <row r="83" spans="2:13" ht="12.75">
      <c r="B83" s="12" t="s">
        <v>69</v>
      </c>
      <c r="C83" s="12" t="s">
        <v>137</v>
      </c>
      <c r="G83"/>
      <c r="H83" s="66"/>
      <c r="I83"/>
      <c r="J83" s="66"/>
      <c r="K83"/>
      <c r="M83" s="35"/>
    </row>
    <row r="84" spans="2:13" ht="12.75">
      <c r="B84" s="12" t="s">
        <v>92</v>
      </c>
      <c r="C84" s="12"/>
      <c r="D84" s="12" t="s">
        <v>130</v>
      </c>
      <c r="G84">
        <v>9271</v>
      </c>
      <c r="H84" s="66"/>
      <c r="I84">
        <v>7412</v>
      </c>
      <c r="J84" s="66"/>
      <c r="K84">
        <v>7511</v>
      </c>
      <c r="M84" s="35"/>
    </row>
    <row r="85" spans="2:13" ht="12.75">
      <c r="B85" s="12" t="s">
        <v>108</v>
      </c>
      <c r="C85" s="12" t="s">
        <v>270</v>
      </c>
      <c r="D85" s="12" t="s">
        <v>130</v>
      </c>
      <c r="G85">
        <v>0.055</v>
      </c>
      <c r="H85" s="66"/>
      <c r="I85">
        <v>0.012</v>
      </c>
      <c r="J85" s="66"/>
      <c r="K85">
        <v>0.0078</v>
      </c>
      <c r="M85" s="35"/>
    </row>
    <row r="86" spans="2:13" ht="12.75">
      <c r="B86" s="12" t="s">
        <v>51</v>
      </c>
      <c r="C86" s="12" t="s">
        <v>270</v>
      </c>
      <c r="D86" s="12" t="s">
        <v>17</v>
      </c>
      <c r="G86">
        <v>99.9998</v>
      </c>
      <c r="H86" s="66"/>
      <c r="I86">
        <v>99.9997</v>
      </c>
      <c r="J86" s="66"/>
      <c r="K86">
        <v>99.9998</v>
      </c>
      <c r="M86" s="35"/>
    </row>
    <row r="87" spans="2:13" ht="12.75">
      <c r="B87" s="12"/>
      <c r="C87" s="12"/>
      <c r="G87"/>
      <c r="H87" s="66"/>
      <c r="I87"/>
      <c r="J87" s="66"/>
      <c r="K87"/>
      <c r="M87" s="35"/>
    </row>
    <row r="88" spans="2:13" ht="12.75">
      <c r="B88" s="12" t="s">
        <v>96</v>
      </c>
      <c r="C88" s="12" t="s">
        <v>154</v>
      </c>
      <c r="D88" s="12" t="s">
        <v>270</v>
      </c>
      <c r="G88"/>
      <c r="H88" s="66"/>
      <c r="I88"/>
      <c r="J88" s="66"/>
      <c r="K88"/>
      <c r="M88" s="35"/>
    </row>
    <row r="89" spans="2:13" ht="12.75">
      <c r="B89" s="12" t="s">
        <v>78</v>
      </c>
      <c r="C89" s="12"/>
      <c r="D89" s="12" t="s">
        <v>16</v>
      </c>
      <c r="G89">
        <v>100862</v>
      </c>
      <c r="H89" s="66"/>
      <c r="I89">
        <v>93362</v>
      </c>
      <c r="J89" s="66"/>
      <c r="K89">
        <v>93540</v>
      </c>
      <c r="M89" s="31">
        <f>AVERAGE(K89,I89,G89)</f>
        <v>95921.33333333333</v>
      </c>
    </row>
    <row r="90" spans="2:13" ht="12.75">
      <c r="B90" s="12" t="s">
        <v>93</v>
      </c>
      <c r="C90" s="12"/>
      <c r="D90" s="12" t="s">
        <v>17</v>
      </c>
      <c r="G90" s="32">
        <v>8</v>
      </c>
      <c r="I90" s="33">
        <v>7.89</v>
      </c>
      <c r="K90" s="32">
        <v>8.21</v>
      </c>
      <c r="M90" s="31">
        <f>AVERAGE(K90,I90,G90)</f>
        <v>8.033333333333333</v>
      </c>
    </row>
    <row r="91" spans="2:13" ht="12.75">
      <c r="B91" s="12" t="s">
        <v>94</v>
      </c>
      <c r="C91" s="12"/>
      <c r="D91" s="12" t="s">
        <v>17</v>
      </c>
      <c r="G91" s="32">
        <v>35.6</v>
      </c>
      <c r="I91" s="33">
        <v>35.8</v>
      </c>
      <c r="K91" s="32">
        <v>34.9</v>
      </c>
      <c r="M91" s="31">
        <f>AVERAGE(K91,I91,G91)</f>
        <v>35.43333333333333</v>
      </c>
    </row>
    <row r="92" spans="2:13" ht="12.75">
      <c r="B92" s="12" t="s">
        <v>77</v>
      </c>
      <c r="C92" s="12"/>
      <c r="D92" s="12" t="s">
        <v>18</v>
      </c>
      <c r="G92" s="32">
        <v>429</v>
      </c>
      <c r="I92" s="33">
        <v>421</v>
      </c>
      <c r="K92" s="32">
        <v>433</v>
      </c>
      <c r="M92" s="31">
        <f>AVERAGE(K92,I92,G92)</f>
        <v>427.6666666666667</v>
      </c>
    </row>
    <row r="93" spans="2:13" ht="12.75">
      <c r="B93" s="12"/>
      <c r="C93" s="12"/>
      <c r="G93"/>
      <c r="H93" s="66"/>
      <c r="I93"/>
      <c r="J93" s="66"/>
      <c r="K93"/>
      <c r="M93" s="35"/>
    </row>
    <row r="94" spans="2:13" ht="12.75">
      <c r="B94" s="12" t="s">
        <v>96</v>
      </c>
      <c r="C94" s="12" t="s">
        <v>153</v>
      </c>
      <c r="D94" s="12" t="s">
        <v>271</v>
      </c>
      <c r="G94"/>
      <c r="H94" s="66"/>
      <c r="I94"/>
      <c r="J94" s="66"/>
      <c r="K94"/>
      <c r="L94" s="27"/>
      <c r="M94" s="35"/>
    </row>
    <row r="95" spans="2:13" ht="12.75">
      <c r="B95" s="12" t="s">
        <v>78</v>
      </c>
      <c r="C95" s="12"/>
      <c r="D95" s="12" t="s">
        <v>16</v>
      </c>
      <c r="G95">
        <v>89170</v>
      </c>
      <c r="H95" s="66"/>
      <c r="I95">
        <v>87337</v>
      </c>
      <c r="J95" s="66"/>
      <c r="K95">
        <v>87081</v>
      </c>
      <c r="L95" s="27"/>
      <c r="M95" s="31">
        <f>AVERAGE(K95,I95,G95)</f>
        <v>87862.66666666667</v>
      </c>
    </row>
    <row r="96" spans="2:13" ht="12.75">
      <c r="B96" s="12" t="s">
        <v>93</v>
      </c>
      <c r="C96" s="12"/>
      <c r="D96" s="12" t="s">
        <v>17</v>
      </c>
      <c r="G96">
        <v>8</v>
      </c>
      <c r="H96" s="66"/>
      <c r="I96">
        <v>7.89</v>
      </c>
      <c r="J96" s="66"/>
      <c r="K96">
        <v>8.21</v>
      </c>
      <c r="M96" s="31">
        <f>AVERAGE(K96,I96,G96)</f>
        <v>8.033333333333333</v>
      </c>
    </row>
    <row r="97" spans="2:13" ht="12.75">
      <c r="B97" s="12" t="s">
        <v>94</v>
      </c>
      <c r="C97" s="12"/>
      <c r="D97" s="12" t="s">
        <v>17</v>
      </c>
      <c r="G97">
        <v>36</v>
      </c>
      <c r="H97" s="66"/>
      <c r="I97">
        <v>36.3</v>
      </c>
      <c r="J97" s="66"/>
      <c r="K97">
        <v>35.9</v>
      </c>
      <c r="M97" s="31">
        <f>AVERAGE(K97,I97,G97)</f>
        <v>36.06666666666666</v>
      </c>
    </row>
    <row r="98" spans="2:13" ht="12.75">
      <c r="B98" s="12" t="s">
        <v>77</v>
      </c>
      <c r="C98" s="12"/>
      <c r="D98" s="12" t="s">
        <v>18</v>
      </c>
      <c r="G98">
        <v>428</v>
      </c>
      <c r="H98" s="66"/>
      <c r="I98">
        <v>422</v>
      </c>
      <c r="J98" s="66"/>
      <c r="K98">
        <v>434</v>
      </c>
      <c r="M98" s="31">
        <f>AVERAGE(K98,I98,G98)</f>
        <v>428</v>
      </c>
    </row>
    <row r="99" spans="2:15" ht="12.75">
      <c r="B99" s="12"/>
      <c r="C99" s="12"/>
      <c r="D99" s="20"/>
      <c r="G99" s="14"/>
      <c r="H99" s="69"/>
      <c r="I99" s="14"/>
      <c r="J99" s="69"/>
      <c r="K99" s="14"/>
      <c r="L99" s="15"/>
      <c r="M99" s="14"/>
      <c r="O99" s="35"/>
    </row>
    <row r="100" spans="2:11" ht="12.75">
      <c r="B100" s="29"/>
      <c r="C100" s="29"/>
      <c r="G100" s="32"/>
      <c r="I100" s="33"/>
      <c r="K100" s="32"/>
    </row>
    <row r="101" spans="2:11" ht="12.75">
      <c r="B101" s="12"/>
      <c r="C101" s="12"/>
      <c r="G101" s="32"/>
      <c r="I101" s="33"/>
      <c r="K101" s="32"/>
    </row>
    <row r="102" spans="2:11" ht="12.75">
      <c r="B102" s="12"/>
      <c r="C102" s="12"/>
      <c r="G102" s="32"/>
      <c r="I102" s="33"/>
      <c r="K102" s="32"/>
    </row>
    <row r="103" spans="2:11" ht="12.75">
      <c r="B103" s="12"/>
      <c r="C103" s="12"/>
      <c r="G103" s="32"/>
      <c r="I103" s="33"/>
      <c r="K103" s="32"/>
    </row>
    <row r="104" spans="2:3" ht="12.75">
      <c r="B104" s="12"/>
      <c r="C104" s="12"/>
    </row>
    <row r="105" spans="2:11" ht="12.75">
      <c r="B105" s="12"/>
      <c r="C105" s="12"/>
      <c r="G105" s="32"/>
      <c r="I105" s="33"/>
      <c r="K105" s="32"/>
    </row>
    <row r="106" spans="2:11" ht="12.75">
      <c r="B106" s="12"/>
      <c r="C106" s="12"/>
      <c r="G106" s="32"/>
      <c r="I106" s="33"/>
      <c r="J106" s="69"/>
      <c r="K106" s="32"/>
    </row>
    <row r="107" spans="2:11" ht="12.75">
      <c r="B107" s="12"/>
      <c r="C107" s="12"/>
      <c r="G107" s="32"/>
      <c r="I107" s="33"/>
      <c r="K107" s="32"/>
    </row>
    <row r="108" spans="2:11" ht="12.75">
      <c r="B108" s="12"/>
      <c r="C108" s="12"/>
      <c r="G108" s="32"/>
      <c r="I108" s="33"/>
      <c r="K108" s="32"/>
    </row>
    <row r="109" spans="2:11" ht="12.75">
      <c r="B109" s="12"/>
      <c r="C109" s="12"/>
      <c r="G109" s="32"/>
      <c r="I109" s="33"/>
      <c r="K109" s="32"/>
    </row>
    <row r="110" spans="7:11" ht="12.75">
      <c r="G110" s="36"/>
      <c r="K110" s="36"/>
    </row>
    <row r="112" spans="2:3" ht="12.75">
      <c r="B112" s="24"/>
      <c r="C112" s="24"/>
    </row>
    <row r="113" spans="2:3" ht="12.75">
      <c r="B113" s="12"/>
      <c r="C113" s="12"/>
    </row>
    <row r="114" spans="2:3" ht="12.75">
      <c r="B114" s="29"/>
      <c r="C114" s="29"/>
    </row>
    <row r="115" spans="2:3" ht="12.75">
      <c r="B115" s="12"/>
      <c r="C115" s="12"/>
    </row>
    <row r="116" spans="2:9" ht="12.75">
      <c r="B116" s="12"/>
      <c r="C116" s="12"/>
      <c r="G116" s="32"/>
      <c r="I116" s="33"/>
    </row>
    <row r="117" spans="2:9" ht="12.75">
      <c r="B117" s="12"/>
      <c r="C117" s="12"/>
      <c r="G117" s="32"/>
      <c r="I117" s="33"/>
    </row>
    <row r="118" spans="7:9" ht="12.75">
      <c r="G118" s="32"/>
      <c r="I118" s="33"/>
    </row>
    <row r="119" spans="2:11" ht="12.75">
      <c r="B119" s="12"/>
      <c r="C119" s="12"/>
      <c r="G119" s="32"/>
      <c r="I119" s="33"/>
      <c r="K119" s="32"/>
    </row>
    <row r="120" spans="7:9" ht="12.75">
      <c r="G120" s="32"/>
      <c r="I120" s="33"/>
    </row>
    <row r="121" spans="2:9" ht="12.75">
      <c r="B121" s="12"/>
      <c r="C121" s="12"/>
      <c r="G121" s="32"/>
      <c r="I121" s="33"/>
    </row>
    <row r="122" spans="2:9" ht="12.75">
      <c r="B122" s="12"/>
      <c r="C122" s="12"/>
      <c r="G122" s="32"/>
      <c r="I122" s="33"/>
    </row>
    <row r="123" spans="2:9" ht="12.75">
      <c r="B123" s="12"/>
      <c r="C123" s="12"/>
      <c r="G123" s="32"/>
      <c r="I123" s="33"/>
    </row>
    <row r="124" spans="2:9" ht="12.75">
      <c r="B124" s="12"/>
      <c r="C124" s="12"/>
      <c r="G124" s="32"/>
      <c r="I124" s="33"/>
    </row>
    <row r="125" spans="7:9" ht="12.75">
      <c r="G125" s="32"/>
      <c r="I125" s="33"/>
    </row>
    <row r="126" spans="2:11" ht="12.75">
      <c r="B126" s="24"/>
      <c r="C126" s="24"/>
      <c r="G126" s="27"/>
      <c r="I126" s="28"/>
      <c r="K126" s="27"/>
    </row>
    <row r="129" spans="7:11" ht="12.75">
      <c r="G129" s="36"/>
      <c r="K129" s="36"/>
    </row>
    <row r="130" spans="7:11" ht="12.75">
      <c r="G130" s="36"/>
      <c r="K130" s="36"/>
    </row>
    <row r="131" spans="7:11" ht="12.75">
      <c r="G131" s="36"/>
      <c r="K131" s="36"/>
    </row>
    <row r="132" spans="7:11" ht="12.75">
      <c r="G132" s="36"/>
      <c r="K132" s="36"/>
    </row>
    <row r="133" spans="7:11" ht="12.75">
      <c r="G133" s="36"/>
      <c r="K133" s="36"/>
    </row>
    <row r="134" spans="7:11" ht="12.75">
      <c r="G134" s="36"/>
      <c r="K134" s="36"/>
    </row>
    <row r="135" spans="7:11" ht="12.75">
      <c r="G135" s="36"/>
      <c r="K135" s="36"/>
    </row>
    <row r="136" spans="7:11" ht="12.75">
      <c r="G136" s="36"/>
      <c r="K136" s="36"/>
    </row>
    <row r="137" spans="7:11" ht="12.75">
      <c r="G137" s="36"/>
      <c r="K137" s="36"/>
    </row>
    <row r="138" spans="7:11" ht="12.75">
      <c r="G138" s="36"/>
      <c r="K138" s="36"/>
    </row>
    <row r="139" spans="7:11" ht="12.75">
      <c r="G139" s="36"/>
      <c r="K139" s="36"/>
    </row>
    <row r="140" spans="7:11" ht="12.75">
      <c r="G140" s="36"/>
      <c r="K140" s="36"/>
    </row>
    <row r="142" spans="7:11" ht="12.75">
      <c r="G142" s="36"/>
      <c r="K142" s="3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172"/>
  <sheetViews>
    <sheetView zoomScale="80" zoomScaleNormal="80" workbookViewId="0" topLeftCell="B1">
      <selection activeCell="C6" sqref="C6"/>
    </sheetView>
  </sheetViews>
  <sheetFormatPr defaultColWidth="9.140625" defaultRowHeight="12.75"/>
  <cols>
    <col min="1" max="1" width="3.421875" style="75" hidden="1" customWidth="1"/>
    <col min="2" max="2" width="19.57421875" style="0" customWidth="1"/>
    <col min="3" max="3" width="10.421875" style="0" customWidth="1"/>
    <col min="5" max="5" width="7.421875" style="0" customWidth="1"/>
    <col min="6" max="6" width="3.8515625" style="0" customWidth="1"/>
    <col min="7" max="7" width="11.57421875" style="0" bestFit="1" customWidth="1"/>
    <col min="8" max="8" width="4.8515625" style="0" customWidth="1"/>
    <col min="9" max="9" width="11.57421875" style="0" bestFit="1" customWidth="1"/>
    <col min="10" max="10" width="4.140625" style="0" customWidth="1"/>
    <col min="11" max="11" width="11.57421875" style="0" bestFit="1" customWidth="1"/>
    <col min="12" max="12" width="4.7109375" style="0" customWidth="1"/>
    <col min="13" max="13" width="9.28125" style="0" bestFit="1" customWidth="1"/>
    <col min="14" max="14" width="1.8515625" style="0" customWidth="1"/>
    <col min="15" max="15" width="8.421875" style="0" customWidth="1"/>
    <col min="16" max="16" width="2.57421875" style="0" customWidth="1"/>
    <col min="17" max="17" width="9.140625" style="0" hidden="1" customWidth="1"/>
    <col min="18" max="61" width="0" style="0" hidden="1" customWidth="1"/>
  </cols>
  <sheetData>
    <row r="1" ht="12.75">
      <c r="B1" s="11" t="s">
        <v>254</v>
      </c>
    </row>
    <row r="4" spans="1:13" ht="12.75">
      <c r="A4" s="75">
        <v>1</v>
      </c>
      <c r="B4" s="11" t="s">
        <v>162</v>
      </c>
      <c r="G4" s="66" t="s">
        <v>188</v>
      </c>
      <c r="H4" s="66"/>
      <c r="I4" s="66" t="s">
        <v>189</v>
      </c>
      <c r="J4" s="66"/>
      <c r="K4" s="66" t="s">
        <v>190</v>
      </c>
      <c r="L4" s="66"/>
      <c r="M4" s="66" t="s">
        <v>161</v>
      </c>
    </row>
    <row r="6" spans="1:61" s="79" customFormat="1" ht="12.75">
      <c r="A6" s="84"/>
      <c r="B6" s="79" t="s">
        <v>12</v>
      </c>
      <c r="C6" s="79" t="s">
        <v>270</v>
      </c>
      <c r="D6" s="79" t="s">
        <v>13</v>
      </c>
      <c r="E6" s="79" t="s">
        <v>14</v>
      </c>
      <c r="F6" s="80" t="s">
        <v>191</v>
      </c>
      <c r="G6" s="79">
        <v>0.01366680224</v>
      </c>
      <c r="H6" s="80" t="s">
        <v>191</v>
      </c>
      <c r="I6" s="79">
        <v>0.017294289204705885</v>
      </c>
      <c r="J6" s="80" t="s">
        <v>191</v>
      </c>
      <c r="K6" s="79">
        <v>0.01058278214551181</v>
      </c>
      <c r="L6" s="80" t="s">
        <v>191</v>
      </c>
      <c r="M6" s="79">
        <f aca="true" t="shared" si="0" ref="M6:M13">AVERAGE(G6,I6,K6)</f>
        <v>0.013847957863405898</v>
      </c>
      <c r="N6" s="80" t="s">
        <v>191</v>
      </c>
      <c r="P6" s="80" t="s">
        <v>191</v>
      </c>
      <c r="R6" s="80" t="s">
        <v>191</v>
      </c>
      <c r="T6" s="80" t="s">
        <v>191</v>
      </c>
      <c r="V6" s="80" t="s">
        <v>191</v>
      </c>
      <c r="X6" s="80" t="s">
        <v>191</v>
      </c>
      <c r="Z6" s="80" t="s">
        <v>191</v>
      </c>
      <c r="AB6" s="80" t="s">
        <v>191</v>
      </c>
      <c r="AD6" s="80" t="s">
        <v>191</v>
      </c>
      <c r="AF6" s="80" t="s">
        <v>191</v>
      </c>
      <c r="BI6"/>
    </row>
    <row r="7" spans="1:61" s="81" customFormat="1" ht="12.75">
      <c r="A7" s="84"/>
      <c r="B7" s="81" t="s">
        <v>110</v>
      </c>
      <c r="C7" s="79" t="s">
        <v>270</v>
      </c>
      <c r="D7" s="81" t="s">
        <v>15</v>
      </c>
      <c r="E7" s="79" t="s">
        <v>14</v>
      </c>
      <c r="F7" s="80" t="s">
        <v>191</v>
      </c>
      <c r="G7" s="81">
        <v>312</v>
      </c>
      <c r="H7" s="80" t="s">
        <v>191</v>
      </c>
      <c r="I7" s="81">
        <v>276</v>
      </c>
      <c r="J7" s="80" t="s">
        <v>191</v>
      </c>
      <c r="K7" s="81">
        <v>312</v>
      </c>
      <c r="L7" s="80" t="s">
        <v>191</v>
      </c>
      <c r="M7" s="85">
        <f t="shared" si="0"/>
        <v>300</v>
      </c>
      <c r="N7" s="80" t="s">
        <v>191</v>
      </c>
      <c r="P7" s="80" t="s">
        <v>191</v>
      </c>
      <c r="R7" s="80" t="s">
        <v>191</v>
      </c>
      <c r="T7" s="80" t="s">
        <v>191</v>
      </c>
      <c r="V7" s="80" t="s">
        <v>191</v>
      </c>
      <c r="X7" s="80" t="s">
        <v>191</v>
      </c>
      <c r="Z7" s="80" t="s">
        <v>191</v>
      </c>
      <c r="AB7" s="80" t="s">
        <v>191</v>
      </c>
      <c r="AD7" s="80" t="s">
        <v>191</v>
      </c>
      <c r="AF7" s="80" t="s">
        <v>191</v>
      </c>
      <c r="BI7"/>
    </row>
    <row r="8" spans="1:61" s="81" customFormat="1" ht="12.75">
      <c r="A8" s="84"/>
      <c r="B8" s="81" t="s">
        <v>192</v>
      </c>
      <c r="C8" s="79" t="s">
        <v>270</v>
      </c>
      <c r="D8" s="81" t="s">
        <v>15</v>
      </c>
      <c r="E8" s="79" t="s">
        <v>14</v>
      </c>
      <c r="F8" s="80" t="s">
        <v>191</v>
      </c>
      <c r="G8" s="81">
        <v>273</v>
      </c>
      <c r="H8" s="80" t="s">
        <v>191</v>
      </c>
      <c r="I8" s="81">
        <v>270</v>
      </c>
      <c r="J8" s="80" t="s">
        <v>191</v>
      </c>
      <c r="K8" s="81">
        <v>291</v>
      </c>
      <c r="L8" s="80" t="s">
        <v>191</v>
      </c>
      <c r="M8" s="85">
        <f t="shared" si="0"/>
        <v>278</v>
      </c>
      <c r="N8" s="80" t="s">
        <v>191</v>
      </c>
      <c r="P8" s="80" t="s">
        <v>191</v>
      </c>
      <c r="R8" s="80" t="s">
        <v>191</v>
      </c>
      <c r="T8" s="80" t="s">
        <v>191</v>
      </c>
      <c r="V8" s="80" t="s">
        <v>191</v>
      </c>
      <c r="X8" s="80" t="s">
        <v>191</v>
      </c>
      <c r="Z8" s="80" t="s">
        <v>191</v>
      </c>
      <c r="AB8" s="80" t="s">
        <v>191</v>
      </c>
      <c r="AD8" s="80" t="s">
        <v>191</v>
      </c>
      <c r="AF8" s="80" t="s">
        <v>191</v>
      </c>
      <c r="BI8"/>
    </row>
    <row r="9" spans="1:61" s="81" customFormat="1" ht="12.75">
      <c r="A9" s="84"/>
      <c r="B9" s="81" t="s">
        <v>129</v>
      </c>
      <c r="C9" s="79" t="s">
        <v>270</v>
      </c>
      <c r="D9" s="81" t="s">
        <v>15</v>
      </c>
      <c r="E9" s="79" t="s">
        <v>14</v>
      </c>
      <c r="F9" s="80" t="s">
        <v>191</v>
      </c>
      <c r="G9" s="81">
        <v>19.8</v>
      </c>
      <c r="H9" s="80" t="s">
        <v>191</v>
      </c>
      <c r="I9" s="81">
        <v>18.5</v>
      </c>
      <c r="J9" s="80" t="s">
        <v>191</v>
      </c>
      <c r="K9" s="81">
        <v>19</v>
      </c>
      <c r="L9" s="80" t="s">
        <v>191</v>
      </c>
      <c r="M9" s="85">
        <f t="shared" si="0"/>
        <v>19.099999999999998</v>
      </c>
      <c r="N9" s="80" t="s">
        <v>191</v>
      </c>
      <c r="P9" s="80" t="s">
        <v>191</v>
      </c>
      <c r="R9" s="80" t="s">
        <v>191</v>
      </c>
      <c r="T9" s="80" t="s">
        <v>191</v>
      </c>
      <c r="V9" s="80" t="s">
        <v>191</v>
      </c>
      <c r="X9" s="80" t="s">
        <v>191</v>
      </c>
      <c r="Z9" s="80" t="s">
        <v>191</v>
      </c>
      <c r="AB9" s="80" t="s">
        <v>191</v>
      </c>
      <c r="AD9" s="80" t="s">
        <v>191</v>
      </c>
      <c r="AF9" s="80" t="s">
        <v>191</v>
      </c>
      <c r="BI9"/>
    </row>
    <row r="10" spans="1:61" s="81" customFormat="1" ht="12.75">
      <c r="A10" s="84"/>
      <c r="B10" s="81" t="s">
        <v>112</v>
      </c>
      <c r="C10" s="79" t="s">
        <v>270</v>
      </c>
      <c r="D10" s="81" t="s">
        <v>15</v>
      </c>
      <c r="E10" s="79" t="s">
        <v>14</v>
      </c>
      <c r="F10" s="80" t="s">
        <v>191</v>
      </c>
      <c r="G10" s="81">
        <v>18.6</v>
      </c>
      <c r="H10" s="80" t="s">
        <v>191</v>
      </c>
      <c r="I10" s="81">
        <v>18.4</v>
      </c>
      <c r="J10" s="80" t="s">
        <v>191</v>
      </c>
      <c r="K10" s="81">
        <v>18.5</v>
      </c>
      <c r="L10" s="80" t="s">
        <v>191</v>
      </c>
      <c r="M10" s="85">
        <f t="shared" si="0"/>
        <v>18.5</v>
      </c>
      <c r="N10" s="80" t="s">
        <v>191</v>
      </c>
      <c r="P10" s="80" t="s">
        <v>191</v>
      </c>
      <c r="R10" s="80" t="s">
        <v>191</v>
      </c>
      <c r="T10" s="80" t="s">
        <v>191</v>
      </c>
      <c r="V10" s="80" t="s">
        <v>191</v>
      </c>
      <c r="X10" s="80" t="s">
        <v>191</v>
      </c>
      <c r="Z10" s="80" t="s">
        <v>191</v>
      </c>
      <c r="AB10" s="80" t="s">
        <v>191</v>
      </c>
      <c r="AD10" s="80" t="s">
        <v>191</v>
      </c>
      <c r="AF10" s="80" t="s">
        <v>191</v>
      </c>
      <c r="BI10"/>
    </row>
    <row r="11" spans="1:61" s="81" customFormat="1" ht="12.75">
      <c r="A11" s="84"/>
      <c r="B11" s="81" t="s">
        <v>49</v>
      </c>
      <c r="C11" s="79" t="s">
        <v>270</v>
      </c>
      <c r="D11" s="81" t="s">
        <v>15</v>
      </c>
      <c r="E11" s="79" t="s">
        <v>14</v>
      </c>
      <c r="F11" s="80" t="s">
        <v>191</v>
      </c>
      <c r="G11" s="81">
        <v>130.68023670026747</v>
      </c>
      <c r="H11" s="80" t="s">
        <v>191</v>
      </c>
      <c r="I11" s="81">
        <v>114.11604845790642</v>
      </c>
      <c r="J11" s="80" t="s">
        <v>191</v>
      </c>
      <c r="K11" s="81">
        <v>97.80106677388012</v>
      </c>
      <c r="L11" s="80" t="s">
        <v>191</v>
      </c>
      <c r="M11" s="85">
        <f t="shared" si="0"/>
        <v>114.19911731068466</v>
      </c>
      <c r="N11" s="80" t="s">
        <v>191</v>
      </c>
      <c r="P11" s="80" t="s">
        <v>191</v>
      </c>
      <c r="R11" s="80" t="s">
        <v>191</v>
      </c>
      <c r="T11" s="80" t="s">
        <v>191</v>
      </c>
      <c r="V11" s="80" t="s">
        <v>191</v>
      </c>
      <c r="X11" s="80" t="s">
        <v>191</v>
      </c>
      <c r="Z11" s="80" t="s">
        <v>191</v>
      </c>
      <c r="AB11" s="80" t="s">
        <v>191</v>
      </c>
      <c r="AD11" s="80" t="s">
        <v>191</v>
      </c>
      <c r="AF11" s="80" t="s">
        <v>191</v>
      </c>
      <c r="BI11"/>
    </row>
    <row r="12" spans="1:61" s="81" customFormat="1" ht="12.75">
      <c r="A12" s="84"/>
      <c r="B12" s="81" t="s">
        <v>50</v>
      </c>
      <c r="C12" s="79" t="s">
        <v>270</v>
      </c>
      <c r="D12" s="81" t="s">
        <v>15</v>
      </c>
      <c r="E12" s="79" t="s">
        <v>14</v>
      </c>
      <c r="F12" s="80" t="s">
        <v>191</v>
      </c>
      <c r="G12" s="81">
        <v>0.7935416531950842</v>
      </c>
      <c r="H12" s="80" t="s">
        <v>191</v>
      </c>
      <c r="I12" s="81">
        <v>8.400332021853773</v>
      </c>
      <c r="J12" s="80" t="s">
        <v>28</v>
      </c>
      <c r="K12" s="81">
        <v>0.67104776932571</v>
      </c>
      <c r="L12" s="80" t="s">
        <v>191</v>
      </c>
      <c r="M12" s="85">
        <f t="shared" si="0"/>
        <v>3.288307148124856</v>
      </c>
      <c r="N12" s="80" t="s">
        <v>191</v>
      </c>
      <c r="P12" s="80" t="s">
        <v>191</v>
      </c>
      <c r="R12" s="80" t="s">
        <v>191</v>
      </c>
      <c r="T12" s="80" t="s">
        <v>191</v>
      </c>
      <c r="V12" s="80" t="s">
        <v>191</v>
      </c>
      <c r="X12" s="80" t="s">
        <v>191</v>
      </c>
      <c r="Z12" s="80" t="s">
        <v>191</v>
      </c>
      <c r="AB12" s="80" t="s">
        <v>191</v>
      </c>
      <c r="AD12" s="80" t="s">
        <v>191</v>
      </c>
      <c r="AF12" s="80" t="s">
        <v>191</v>
      </c>
      <c r="BI12"/>
    </row>
    <row r="13" spans="1:61" s="81" customFormat="1" ht="12.75">
      <c r="A13" s="84"/>
      <c r="B13" s="81" t="s">
        <v>95</v>
      </c>
      <c r="C13" s="79" t="s">
        <v>270</v>
      </c>
      <c r="D13" s="81" t="s">
        <v>15</v>
      </c>
      <c r="E13" s="79" t="s">
        <v>14</v>
      </c>
      <c r="F13" s="80"/>
      <c r="G13" s="81">
        <f>G11+2*G12</f>
        <v>132.26732000665763</v>
      </c>
      <c r="H13" s="80"/>
      <c r="I13" s="81">
        <f>I11+2*I12</f>
        <v>130.91671250161397</v>
      </c>
      <c r="J13" s="80"/>
      <c r="K13" s="81">
        <f>K11+2*K12</f>
        <v>99.14316231253154</v>
      </c>
      <c r="L13" s="80"/>
      <c r="M13" s="85">
        <f t="shared" si="0"/>
        <v>120.77573160693437</v>
      </c>
      <c r="N13" s="80"/>
      <c r="P13" s="80"/>
      <c r="R13" s="80"/>
      <c r="T13" s="80"/>
      <c r="V13" s="80"/>
      <c r="X13" s="80"/>
      <c r="Z13" s="80"/>
      <c r="AB13" s="80"/>
      <c r="AD13" s="80"/>
      <c r="AF13" s="80"/>
      <c r="BI13"/>
    </row>
    <row r="14" spans="1:61" s="81" customFormat="1" ht="12.75">
      <c r="A14" s="84"/>
      <c r="C14" s="79"/>
      <c r="E14" s="79"/>
      <c r="F14" s="80"/>
      <c r="H14" s="80"/>
      <c r="J14" s="80"/>
      <c r="L14" s="80"/>
      <c r="M14" s="85"/>
      <c r="N14" s="80"/>
      <c r="P14" s="80"/>
      <c r="R14" s="80"/>
      <c r="T14" s="80"/>
      <c r="V14" s="80"/>
      <c r="X14" s="80"/>
      <c r="Z14" s="80"/>
      <c r="AB14" s="80"/>
      <c r="AD14" s="80"/>
      <c r="AF14" s="80"/>
      <c r="BI14"/>
    </row>
    <row r="15" spans="1:61" s="81" customFormat="1" ht="12.75">
      <c r="A15" s="84"/>
      <c r="B15" s="81" t="s">
        <v>80</v>
      </c>
      <c r="C15" s="81" t="s">
        <v>271</v>
      </c>
      <c r="D15" s="81" t="s">
        <v>54</v>
      </c>
      <c r="E15" s="79" t="s">
        <v>14</v>
      </c>
      <c r="F15" s="80" t="s">
        <v>28</v>
      </c>
      <c r="G15" s="81">
        <v>12.57877241570545</v>
      </c>
      <c r="H15" s="80" t="s">
        <v>28</v>
      </c>
      <c r="I15" s="81">
        <v>11.374327620356727</v>
      </c>
      <c r="J15" s="80" t="s">
        <v>28</v>
      </c>
      <c r="K15" s="81">
        <v>12.178066584375</v>
      </c>
      <c r="L15" s="80">
        <v>100</v>
      </c>
      <c r="M15" s="85">
        <f aca="true" t="shared" si="1" ref="M15:M26">AVERAGE(G15,I15,K15)</f>
        <v>12.04372220681239</v>
      </c>
      <c r="N15" s="80" t="s">
        <v>191</v>
      </c>
      <c r="P15" s="80" t="s">
        <v>191</v>
      </c>
      <c r="R15" s="80" t="s">
        <v>191</v>
      </c>
      <c r="T15" s="80" t="s">
        <v>191</v>
      </c>
      <c r="V15" s="80" t="s">
        <v>191</v>
      </c>
      <c r="X15" s="80" t="s">
        <v>191</v>
      </c>
      <c r="Z15" s="80" t="s">
        <v>191</v>
      </c>
      <c r="AB15" s="80" t="s">
        <v>191</v>
      </c>
      <c r="AD15" s="80" t="s">
        <v>191</v>
      </c>
      <c r="AF15" s="80" t="s">
        <v>191</v>
      </c>
      <c r="BI15"/>
    </row>
    <row r="16" spans="1:61" s="81" customFormat="1" ht="12.75">
      <c r="A16" s="84"/>
      <c r="B16" s="81" t="s">
        <v>81</v>
      </c>
      <c r="C16" s="81" t="s">
        <v>271</v>
      </c>
      <c r="D16" s="81" t="s">
        <v>54</v>
      </c>
      <c r="E16" s="79" t="s">
        <v>14</v>
      </c>
      <c r="F16" s="80" t="s">
        <v>191</v>
      </c>
      <c r="G16" s="81">
        <v>1.5016285730710575</v>
      </c>
      <c r="H16" s="80" t="s">
        <v>191</v>
      </c>
      <c r="I16" s="81">
        <v>11.243588222421591</v>
      </c>
      <c r="J16" s="80" t="s">
        <v>191</v>
      </c>
      <c r="K16" s="81">
        <v>1.1304177547070395</v>
      </c>
      <c r="L16" s="80" t="s">
        <v>191</v>
      </c>
      <c r="M16" s="85">
        <f t="shared" si="1"/>
        <v>4.62521151673323</v>
      </c>
      <c r="N16" s="80" t="s">
        <v>191</v>
      </c>
      <c r="P16" s="80" t="s">
        <v>191</v>
      </c>
      <c r="R16" s="80" t="s">
        <v>191</v>
      </c>
      <c r="T16" s="80" t="s">
        <v>191</v>
      </c>
      <c r="V16" s="80" t="s">
        <v>191</v>
      </c>
      <c r="X16" s="80" t="s">
        <v>191</v>
      </c>
      <c r="Z16" s="80" t="s">
        <v>191</v>
      </c>
      <c r="AB16" s="80" t="s">
        <v>191</v>
      </c>
      <c r="AD16" s="80" t="s">
        <v>191</v>
      </c>
      <c r="AF16" s="80" t="s">
        <v>191</v>
      </c>
      <c r="BI16"/>
    </row>
    <row r="17" spans="1:61" s="81" customFormat="1" ht="12.75">
      <c r="A17" s="84"/>
      <c r="B17" s="81" t="s">
        <v>82</v>
      </c>
      <c r="C17" s="81" t="s">
        <v>271</v>
      </c>
      <c r="D17" s="81" t="s">
        <v>54</v>
      </c>
      <c r="E17" s="79" t="s">
        <v>14</v>
      </c>
      <c r="F17" s="80" t="s">
        <v>191</v>
      </c>
      <c r="G17" s="81">
        <v>7.402818215941485</v>
      </c>
      <c r="H17" s="80" t="s">
        <v>191</v>
      </c>
      <c r="I17" s="81">
        <v>4.523583168555663</v>
      </c>
      <c r="J17" s="80" t="s">
        <v>191</v>
      </c>
      <c r="K17" s="81">
        <v>9.9792490066407</v>
      </c>
      <c r="L17" s="80" t="s">
        <v>191</v>
      </c>
      <c r="M17" s="85">
        <f t="shared" si="1"/>
        <v>7.301883463712616</v>
      </c>
      <c r="N17" s="80" t="s">
        <v>191</v>
      </c>
      <c r="P17" s="80" t="s">
        <v>191</v>
      </c>
      <c r="R17" s="80" t="s">
        <v>191</v>
      </c>
      <c r="T17" s="80" t="s">
        <v>191</v>
      </c>
      <c r="V17" s="80" t="s">
        <v>191</v>
      </c>
      <c r="X17" s="80" t="s">
        <v>191</v>
      </c>
      <c r="Z17" s="80" t="s">
        <v>191</v>
      </c>
      <c r="AB17" s="80" t="s">
        <v>191</v>
      </c>
      <c r="AD17" s="80" t="s">
        <v>191</v>
      </c>
      <c r="AF17" s="80" t="s">
        <v>191</v>
      </c>
      <c r="BI17"/>
    </row>
    <row r="18" spans="1:61" s="81" customFormat="1" ht="12.75">
      <c r="A18" s="84"/>
      <c r="B18" s="81" t="s">
        <v>83</v>
      </c>
      <c r="C18" s="81" t="s">
        <v>271</v>
      </c>
      <c r="D18" s="81" t="s">
        <v>54</v>
      </c>
      <c r="E18" s="79" t="s">
        <v>14</v>
      </c>
      <c r="F18" s="80" t="s">
        <v>28</v>
      </c>
      <c r="G18" s="81">
        <v>0.12638957929656194</v>
      </c>
      <c r="H18" s="80" t="s">
        <v>28</v>
      </c>
      <c r="I18" s="81">
        <v>0.11505067018291862</v>
      </c>
      <c r="J18" s="80" t="s">
        <v>28</v>
      </c>
      <c r="K18" s="81">
        <v>0.12121686646484466</v>
      </c>
      <c r="L18" s="80">
        <v>100</v>
      </c>
      <c r="M18" s="85">
        <f t="shared" si="1"/>
        <v>0.12088570531477506</v>
      </c>
      <c r="N18" s="80" t="s">
        <v>191</v>
      </c>
      <c r="P18" s="80" t="s">
        <v>191</v>
      </c>
      <c r="R18" s="80" t="s">
        <v>191</v>
      </c>
      <c r="T18" s="80" t="s">
        <v>191</v>
      </c>
      <c r="V18" s="80" t="s">
        <v>191</v>
      </c>
      <c r="X18" s="80" t="s">
        <v>191</v>
      </c>
      <c r="Z18" s="80" t="s">
        <v>191</v>
      </c>
      <c r="AB18" s="80" t="s">
        <v>191</v>
      </c>
      <c r="AD18" s="80" t="s">
        <v>191</v>
      </c>
      <c r="AF18" s="80" t="s">
        <v>191</v>
      </c>
      <c r="BI18"/>
    </row>
    <row r="19" spans="1:61" s="81" customFormat="1" ht="12.75">
      <c r="A19" s="84"/>
      <c r="B19" s="81" t="s">
        <v>84</v>
      </c>
      <c r="C19" s="81" t="s">
        <v>271</v>
      </c>
      <c r="D19" s="81" t="s">
        <v>54</v>
      </c>
      <c r="E19" s="79" t="s">
        <v>14</v>
      </c>
      <c r="F19" s="80" t="s">
        <v>191</v>
      </c>
      <c r="G19" s="81">
        <v>37.91687378896859</v>
      </c>
      <c r="H19" s="80" t="s">
        <v>191</v>
      </c>
      <c r="I19" s="81">
        <v>47.3276620525188</v>
      </c>
      <c r="J19" s="80" t="s">
        <v>191</v>
      </c>
      <c r="K19" s="81">
        <v>41.7211540390628</v>
      </c>
      <c r="L19" s="80" t="s">
        <v>191</v>
      </c>
      <c r="M19" s="85">
        <f t="shared" si="1"/>
        <v>42.32189662685007</v>
      </c>
      <c r="N19" s="80" t="s">
        <v>191</v>
      </c>
      <c r="P19" s="80" t="s">
        <v>191</v>
      </c>
      <c r="R19" s="80" t="s">
        <v>191</v>
      </c>
      <c r="T19" s="80" t="s">
        <v>191</v>
      </c>
      <c r="V19" s="80" t="s">
        <v>191</v>
      </c>
      <c r="X19" s="80" t="s">
        <v>191</v>
      </c>
      <c r="Z19" s="80" t="s">
        <v>191</v>
      </c>
      <c r="AB19" s="80" t="s">
        <v>191</v>
      </c>
      <c r="AD19" s="80" t="s">
        <v>191</v>
      </c>
      <c r="AF19" s="80" t="s">
        <v>191</v>
      </c>
      <c r="BI19"/>
    </row>
    <row r="20" spans="1:61" s="81" customFormat="1" ht="12.75">
      <c r="A20" s="84"/>
      <c r="B20" s="81" t="s">
        <v>113</v>
      </c>
      <c r="C20" s="81" t="s">
        <v>271</v>
      </c>
      <c r="D20" s="81" t="s">
        <v>54</v>
      </c>
      <c r="E20" s="79" t="s">
        <v>14</v>
      </c>
      <c r="F20" s="80" t="s">
        <v>191</v>
      </c>
      <c r="G20" s="81">
        <v>12.638957929656195</v>
      </c>
      <c r="H20" s="80" t="s">
        <v>191</v>
      </c>
      <c r="I20" s="81">
        <v>19.532466051509136</v>
      </c>
      <c r="J20" s="80" t="s">
        <v>191</v>
      </c>
      <c r="K20" s="81">
        <v>14.517834006836</v>
      </c>
      <c r="L20" s="80" t="s">
        <v>191</v>
      </c>
      <c r="M20" s="85">
        <f t="shared" si="1"/>
        <v>15.563085996000444</v>
      </c>
      <c r="N20" s="80" t="s">
        <v>191</v>
      </c>
      <c r="P20" s="80" t="s">
        <v>191</v>
      </c>
      <c r="R20" s="80" t="s">
        <v>191</v>
      </c>
      <c r="T20" s="80" t="s">
        <v>191</v>
      </c>
      <c r="V20" s="80" t="s">
        <v>191</v>
      </c>
      <c r="X20" s="80" t="s">
        <v>191</v>
      </c>
      <c r="Z20" s="80" t="s">
        <v>191</v>
      </c>
      <c r="AB20" s="80" t="s">
        <v>191</v>
      </c>
      <c r="AD20" s="80" t="s">
        <v>191</v>
      </c>
      <c r="AF20" s="80" t="s">
        <v>191</v>
      </c>
      <c r="BI20"/>
    </row>
    <row r="21" spans="1:61" s="81" customFormat="1" ht="12.75">
      <c r="A21" s="84"/>
      <c r="B21" s="81" t="s">
        <v>79</v>
      </c>
      <c r="C21" s="81" t="s">
        <v>271</v>
      </c>
      <c r="D21" s="81" t="s">
        <v>54</v>
      </c>
      <c r="E21" s="79" t="s">
        <v>14</v>
      </c>
      <c r="F21" s="80" t="s">
        <v>191</v>
      </c>
      <c r="G21" s="81">
        <v>424.3078733527437</v>
      </c>
      <c r="H21" s="80" t="s">
        <v>191</v>
      </c>
      <c r="I21" s="81">
        <v>570.0237749971877</v>
      </c>
      <c r="J21" s="80" t="s">
        <v>191</v>
      </c>
      <c r="K21" s="81">
        <v>515.8764316992225</v>
      </c>
      <c r="L21" s="80" t="s">
        <v>191</v>
      </c>
      <c r="M21" s="85">
        <f t="shared" si="1"/>
        <v>503.402693349718</v>
      </c>
      <c r="N21" s="80" t="s">
        <v>191</v>
      </c>
      <c r="P21" s="80" t="s">
        <v>191</v>
      </c>
      <c r="R21" s="80" t="s">
        <v>191</v>
      </c>
      <c r="T21" s="80" t="s">
        <v>191</v>
      </c>
      <c r="V21" s="80" t="s">
        <v>191</v>
      </c>
      <c r="X21" s="80" t="s">
        <v>191</v>
      </c>
      <c r="Z21" s="80" t="s">
        <v>191</v>
      </c>
      <c r="AB21" s="80" t="s">
        <v>191</v>
      </c>
      <c r="AD21" s="80" t="s">
        <v>191</v>
      </c>
      <c r="AF21" s="80" t="s">
        <v>191</v>
      </c>
      <c r="BI21"/>
    </row>
    <row r="22" spans="1:61" s="81" customFormat="1" ht="12.75">
      <c r="A22" s="84"/>
      <c r="B22" s="81" t="s">
        <v>85</v>
      </c>
      <c r="C22" s="81" t="s">
        <v>271</v>
      </c>
      <c r="D22" s="81" t="s">
        <v>54</v>
      </c>
      <c r="E22" s="79" t="s">
        <v>14</v>
      </c>
      <c r="F22" s="80" t="s">
        <v>191</v>
      </c>
      <c r="G22" s="81">
        <v>18.17602521312462</v>
      </c>
      <c r="H22" s="80" t="s">
        <v>191</v>
      </c>
      <c r="I22" s="81">
        <v>7.2691105251935</v>
      </c>
      <c r="J22" s="80" t="s">
        <v>191</v>
      </c>
      <c r="K22" s="81">
        <v>20.973336895312656</v>
      </c>
      <c r="L22" s="80" t="s">
        <v>191</v>
      </c>
      <c r="M22" s="85">
        <f t="shared" si="1"/>
        <v>15.47282421121026</v>
      </c>
      <c r="N22" s="80" t="s">
        <v>191</v>
      </c>
      <c r="P22" s="80" t="s">
        <v>191</v>
      </c>
      <c r="R22" s="80" t="s">
        <v>191</v>
      </c>
      <c r="T22" s="80" t="s">
        <v>191</v>
      </c>
      <c r="V22" s="80" t="s">
        <v>191</v>
      </c>
      <c r="X22" s="80" t="s">
        <v>191</v>
      </c>
      <c r="Z22" s="80" t="s">
        <v>191</v>
      </c>
      <c r="AB22" s="80" t="s">
        <v>191</v>
      </c>
      <c r="AD22" s="80" t="s">
        <v>191</v>
      </c>
      <c r="AF22" s="80" t="s">
        <v>191</v>
      </c>
      <c r="BI22"/>
    </row>
    <row r="23" spans="1:61" s="81" customFormat="1" ht="12.75">
      <c r="A23" s="84"/>
      <c r="B23" s="81" t="s">
        <v>88</v>
      </c>
      <c r="C23" s="81" t="s">
        <v>271</v>
      </c>
      <c r="D23" s="81" t="s">
        <v>54</v>
      </c>
      <c r="E23" s="79" t="s">
        <v>14</v>
      </c>
      <c r="F23" s="80" t="s">
        <v>28</v>
      </c>
      <c r="G23" s="81">
        <v>6.560221020631072</v>
      </c>
      <c r="H23" s="80" t="s">
        <v>28</v>
      </c>
      <c r="I23" s="81">
        <v>5.9094207866681</v>
      </c>
      <c r="J23" s="80" t="s">
        <v>28</v>
      </c>
      <c r="K23" s="81">
        <v>6.342743012695359</v>
      </c>
      <c r="L23" s="80">
        <v>100</v>
      </c>
      <c r="M23" s="85">
        <f t="shared" si="1"/>
        <v>6.270794939998177</v>
      </c>
      <c r="N23" s="80" t="s">
        <v>191</v>
      </c>
      <c r="P23" s="80" t="s">
        <v>191</v>
      </c>
      <c r="R23" s="80" t="s">
        <v>191</v>
      </c>
      <c r="T23" s="80" t="s">
        <v>191</v>
      </c>
      <c r="V23" s="80" t="s">
        <v>191</v>
      </c>
      <c r="X23" s="80" t="s">
        <v>191</v>
      </c>
      <c r="Z23" s="80" t="s">
        <v>191</v>
      </c>
      <c r="AB23" s="80" t="s">
        <v>191</v>
      </c>
      <c r="AD23" s="80" t="s">
        <v>191</v>
      </c>
      <c r="AF23" s="80" t="s">
        <v>191</v>
      </c>
      <c r="BI23"/>
    </row>
    <row r="24" spans="1:61" s="81" customFormat="1" ht="12.75">
      <c r="A24" s="84"/>
      <c r="B24" s="81" t="s">
        <v>89</v>
      </c>
      <c r="C24" s="81" t="s">
        <v>271</v>
      </c>
      <c r="D24" s="81" t="s">
        <v>54</v>
      </c>
      <c r="E24" s="79" t="s">
        <v>14</v>
      </c>
      <c r="F24" s="80" t="s">
        <v>191</v>
      </c>
      <c r="G24" s="81">
        <v>1.9740848575844</v>
      </c>
      <c r="H24" s="80" t="s">
        <v>28</v>
      </c>
      <c r="I24" s="81">
        <v>45.497310481427</v>
      </c>
      <c r="J24" s="80" t="s">
        <v>28</v>
      </c>
      <c r="K24" s="81">
        <v>48.768646275391</v>
      </c>
      <c r="L24" s="80">
        <v>100</v>
      </c>
      <c r="M24" s="85">
        <f t="shared" si="1"/>
        <v>32.080013871467465</v>
      </c>
      <c r="N24" s="80" t="s">
        <v>191</v>
      </c>
      <c r="P24" s="80" t="s">
        <v>191</v>
      </c>
      <c r="R24" s="80" t="s">
        <v>191</v>
      </c>
      <c r="T24" s="80" t="s">
        <v>191</v>
      </c>
      <c r="V24" s="80" t="s">
        <v>191</v>
      </c>
      <c r="X24" s="80" t="s">
        <v>191</v>
      </c>
      <c r="Z24" s="80" t="s">
        <v>191</v>
      </c>
      <c r="AB24" s="80" t="s">
        <v>191</v>
      </c>
      <c r="AD24" s="80" t="s">
        <v>191</v>
      </c>
      <c r="AF24" s="80" t="s">
        <v>191</v>
      </c>
      <c r="BI24"/>
    </row>
    <row r="25" spans="1:61" s="81" customFormat="1" ht="12.75">
      <c r="A25" s="84"/>
      <c r="B25" s="81" t="s">
        <v>55</v>
      </c>
      <c r="C25" s="81" t="s">
        <v>271</v>
      </c>
      <c r="D25" s="81" t="s">
        <v>54</v>
      </c>
      <c r="E25" s="79" t="s">
        <v>14</v>
      </c>
      <c r="F25" s="80"/>
      <c r="G25" s="81">
        <f>G21+G19</f>
        <v>462.22474714171227</v>
      </c>
      <c r="H25" s="80"/>
      <c r="I25" s="81">
        <f>I21+I19</f>
        <v>617.3514370497065</v>
      </c>
      <c r="J25" s="80"/>
      <c r="K25" s="81">
        <f>K21+K19</f>
        <v>557.5975857382853</v>
      </c>
      <c r="L25" s="80"/>
      <c r="M25" s="81">
        <f t="shared" si="1"/>
        <v>545.724589976568</v>
      </c>
      <c r="N25" s="80"/>
      <c r="P25" s="80"/>
      <c r="R25" s="80"/>
      <c r="T25" s="80"/>
      <c r="V25" s="80"/>
      <c r="X25" s="80"/>
      <c r="Z25" s="80"/>
      <c r="AB25" s="80"/>
      <c r="AD25" s="80"/>
      <c r="AF25" s="80"/>
      <c r="BI25"/>
    </row>
    <row r="26" spans="1:61" s="81" customFormat="1" ht="11.25" customHeight="1">
      <c r="A26" s="84"/>
      <c r="B26" s="81" t="s">
        <v>56</v>
      </c>
      <c r="C26" s="81" t="s">
        <v>271</v>
      </c>
      <c r="D26" s="81" t="s">
        <v>54</v>
      </c>
      <c r="E26" s="79" t="s">
        <v>14</v>
      </c>
      <c r="F26" s="80">
        <f>(G18/G26)*100</f>
        <v>0.885889052942417</v>
      </c>
      <c r="G26" s="81">
        <f>G16+G20+G18</f>
        <v>14.266976082023815</v>
      </c>
      <c r="H26" s="80">
        <f>(I18/I26)*100</f>
        <v>0.3724394785847301</v>
      </c>
      <c r="I26" s="81">
        <f>I16+I20+I18</f>
        <v>30.891104944113643</v>
      </c>
      <c r="J26" s="80">
        <f>(K18/K26)*100</f>
        <v>0.7686807293528802</v>
      </c>
      <c r="K26" s="81">
        <f>K16+K20+K18</f>
        <v>15.769468628007886</v>
      </c>
      <c r="L26" s="80">
        <f>(F26*G26+H26*I26+J26*K26)/(3*M26)</f>
        <v>0.5952268193993436</v>
      </c>
      <c r="M26" s="81">
        <f t="shared" si="1"/>
        <v>20.30918321804845</v>
      </c>
      <c r="N26" s="80"/>
      <c r="P26" s="80"/>
      <c r="R26" s="80"/>
      <c r="T26" s="80"/>
      <c r="V26" s="80"/>
      <c r="X26" s="80"/>
      <c r="Z26" s="80"/>
      <c r="AB26" s="80"/>
      <c r="AD26" s="80"/>
      <c r="AF26" s="80"/>
      <c r="BI26"/>
    </row>
    <row r="27" spans="1:61" s="82" customFormat="1" ht="12.75">
      <c r="A27" s="84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BI27"/>
    </row>
    <row r="28" spans="1:61" s="82" customFormat="1" ht="12.75">
      <c r="A28" s="84"/>
      <c r="B28" s="81" t="s">
        <v>96</v>
      </c>
      <c r="C28" s="82" t="s">
        <v>194</v>
      </c>
      <c r="D28" s="81" t="s">
        <v>270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BI28"/>
    </row>
    <row r="29" spans="1:61" s="82" customFormat="1" ht="12.75">
      <c r="A29" s="84"/>
      <c r="B29" s="12" t="s">
        <v>78</v>
      </c>
      <c r="C29" s="12"/>
      <c r="D29" s="12" t="s">
        <v>16</v>
      </c>
      <c r="G29" s="80">
        <v>108068</v>
      </c>
      <c r="H29" s="80"/>
      <c r="I29" s="80">
        <v>105638</v>
      </c>
      <c r="J29" s="80"/>
      <c r="K29" s="80">
        <v>105710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BI29"/>
    </row>
    <row r="30" spans="1:61" s="82" customFormat="1" ht="12.75">
      <c r="A30" s="84"/>
      <c r="B30" s="12" t="s">
        <v>93</v>
      </c>
      <c r="C30" s="12"/>
      <c r="D30" s="12" t="s">
        <v>17</v>
      </c>
      <c r="G30" s="80">
        <v>8.4</v>
      </c>
      <c r="H30" s="80"/>
      <c r="I30" s="80">
        <v>7.4</v>
      </c>
      <c r="J30" s="80"/>
      <c r="K30" s="80">
        <v>8.3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BI30"/>
    </row>
    <row r="31" spans="1:61" s="82" customFormat="1" ht="12.75">
      <c r="A31" s="84"/>
      <c r="B31" s="12" t="s">
        <v>94</v>
      </c>
      <c r="C31" s="12"/>
      <c r="D31" s="12" t="s">
        <v>17</v>
      </c>
      <c r="G31" s="80">
        <v>33</v>
      </c>
      <c r="H31" s="80"/>
      <c r="I31" s="80">
        <v>31.97</v>
      </c>
      <c r="J31" s="80"/>
      <c r="K31" s="80">
        <v>31.64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BI31"/>
    </row>
    <row r="32" spans="1:61" s="82" customFormat="1" ht="12.75">
      <c r="A32" s="84"/>
      <c r="B32" s="12" t="s">
        <v>77</v>
      </c>
      <c r="C32" s="12"/>
      <c r="D32" s="12" t="s">
        <v>18</v>
      </c>
      <c r="G32" s="80">
        <v>495.8</v>
      </c>
      <c r="H32" s="80"/>
      <c r="I32" s="80">
        <v>536.6</v>
      </c>
      <c r="J32" s="80"/>
      <c r="K32" s="80">
        <v>528.9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BI32"/>
    </row>
    <row r="33" spans="1:61" s="82" customFormat="1" ht="12.75">
      <c r="A33" s="8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BI33"/>
    </row>
    <row r="34" spans="1:61" s="82" customFormat="1" ht="12.75">
      <c r="A34" s="84"/>
      <c r="B34" s="81" t="s">
        <v>96</v>
      </c>
      <c r="C34" s="82" t="s">
        <v>109</v>
      </c>
      <c r="D34" s="12" t="s">
        <v>271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BI34"/>
    </row>
    <row r="35" spans="1:61" s="82" customFormat="1" ht="12.75">
      <c r="A35" s="84"/>
      <c r="B35" s="12" t="s">
        <v>78</v>
      </c>
      <c r="C35" s="12"/>
      <c r="D35" s="12" t="s">
        <v>16</v>
      </c>
      <c r="G35" s="80">
        <v>98573</v>
      </c>
      <c r="H35" s="80"/>
      <c r="I35" s="80">
        <v>105103</v>
      </c>
      <c r="J35" s="80"/>
      <c r="K35" s="80">
        <v>104398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BI35"/>
    </row>
    <row r="36" spans="1:61" s="82" customFormat="1" ht="12.75">
      <c r="A36" s="84"/>
      <c r="B36" s="12" t="s">
        <v>93</v>
      </c>
      <c r="C36" s="12"/>
      <c r="D36" s="12" t="s">
        <v>17</v>
      </c>
      <c r="G36" s="80">
        <v>8.4</v>
      </c>
      <c r="H36" s="80"/>
      <c r="I36" s="80">
        <v>7.4</v>
      </c>
      <c r="J36" s="80"/>
      <c r="K36" s="80">
        <v>8.3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BI36"/>
    </row>
    <row r="37" spans="1:61" s="82" customFormat="1" ht="12.75">
      <c r="A37" s="84"/>
      <c r="B37" s="12" t="s">
        <v>94</v>
      </c>
      <c r="C37" s="12"/>
      <c r="D37" s="12" t="s">
        <v>17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BI37"/>
    </row>
    <row r="38" spans="1:61" s="82" customFormat="1" ht="12.75">
      <c r="A38" s="84"/>
      <c r="B38" s="12" t="s">
        <v>77</v>
      </c>
      <c r="C38" s="12"/>
      <c r="D38" s="12" t="s">
        <v>18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BI38"/>
    </row>
    <row r="39" spans="1:61" s="81" customFormat="1" ht="12.75">
      <c r="A39" s="84"/>
      <c r="F39" s="80"/>
      <c r="H39" s="80"/>
      <c r="J39" s="80"/>
      <c r="L39" s="80"/>
      <c r="N39" s="80"/>
      <c r="P39" s="80"/>
      <c r="R39" s="80"/>
      <c r="T39" s="80"/>
      <c r="V39" s="80"/>
      <c r="X39" s="80"/>
      <c r="Z39" s="80"/>
      <c r="AB39" s="80"/>
      <c r="AD39" s="80"/>
      <c r="AF39" s="80"/>
      <c r="BI39"/>
    </row>
    <row r="40" spans="1:61" s="81" customFormat="1" ht="12.75">
      <c r="A40" s="84"/>
      <c r="B40" s="81" t="s">
        <v>96</v>
      </c>
      <c r="C40" s="82" t="s">
        <v>193</v>
      </c>
      <c r="D40" s="81" t="s">
        <v>272</v>
      </c>
      <c r="F40" s="80"/>
      <c r="H40" s="80"/>
      <c r="J40" s="80"/>
      <c r="L40" s="80"/>
      <c r="N40" s="80"/>
      <c r="P40" s="80"/>
      <c r="R40" s="80"/>
      <c r="T40" s="80"/>
      <c r="V40" s="80"/>
      <c r="X40" s="80"/>
      <c r="Z40" s="80"/>
      <c r="AB40" s="80"/>
      <c r="AD40" s="80"/>
      <c r="AF40" s="80"/>
      <c r="BI40"/>
    </row>
    <row r="41" spans="1:61" s="82" customFormat="1" ht="12.75">
      <c r="A41" s="84"/>
      <c r="B41" s="12" t="s">
        <v>78</v>
      </c>
      <c r="C41" s="12"/>
      <c r="D41" s="12" t="s">
        <v>16</v>
      </c>
      <c r="G41" s="80">
        <v>104083</v>
      </c>
      <c r="H41" s="80"/>
      <c r="I41" s="80">
        <v>101244</v>
      </c>
      <c r="J41" s="80"/>
      <c r="K41" s="80">
        <v>98530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BI41"/>
    </row>
    <row r="42" spans="1:61" s="82" customFormat="1" ht="12.75">
      <c r="A42" s="84"/>
      <c r="B42" s="12" t="s">
        <v>93</v>
      </c>
      <c r="C42" s="12"/>
      <c r="D42" s="12" t="s">
        <v>17</v>
      </c>
      <c r="G42" s="80">
        <v>8.4</v>
      </c>
      <c r="H42" s="80"/>
      <c r="I42" s="80">
        <v>7.4</v>
      </c>
      <c r="J42" s="80"/>
      <c r="K42" s="80">
        <v>8.3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BI42"/>
    </row>
    <row r="43" spans="1:61" s="82" customFormat="1" ht="12.75">
      <c r="A43" s="84"/>
      <c r="B43" s="12" t="s">
        <v>94</v>
      </c>
      <c r="C43" s="12"/>
      <c r="D43" s="12" t="s">
        <v>17</v>
      </c>
      <c r="G43" s="80">
        <v>33</v>
      </c>
      <c r="H43" s="80"/>
      <c r="I43" s="80">
        <v>31.1</v>
      </c>
      <c r="J43" s="80"/>
      <c r="K43" s="80">
        <v>31.04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BI43"/>
    </row>
    <row r="44" spans="1:61" s="82" customFormat="1" ht="12.75">
      <c r="A44" s="84"/>
      <c r="B44" s="12" t="s">
        <v>77</v>
      </c>
      <c r="C44" s="12"/>
      <c r="D44" s="12" t="s">
        <v>18</v>
      </c>
      <c r="G44" s="80">
        <v>470.3</v>
      </c>
      <c r="H44" s="80"/>
      <c r="I44" s="80">
        <v>530.4</v>
      </c>
      <c r="J44" s="80"/>
      <c r="K44" s="80">
        <v>522.4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BI44"/>
    </row>
    <row r="45" spans="1:61" s="81" customFormat="1" ht="12.75">
      <c r="A45" s="84"/>
      <c r="F45" s="80"/>
      <c r="H45" s="80"/>
      <c r="J45" s="80"/>
      <c r="L45" s="80"/>
      <c r="N45" s="80"/>
      <c r="P45" s="80"/>
      <c r="R45" s="80"/>
      <c r="T45" s="80"/>
      <c r="V45" s="80"/>
      <c r="X45" s="80"/>
      <c r="Z45" s="80"/>
      <c r="AB45" s="80"/>
      <c r="AD45" s="80"/>
      <c r="AF45" s="80"/>
      <c r="BI45"/>
    </row>
    <row r="46" spans="1:61" s="81" customFormat="1" ht="12.75">
      <c r="A46" s="84">
        <v>2</v>
      </c>
      <c r="B46" s="83" t="s">
        <v>168</v>
      </c>
      <c r="F46" s="80"/>
      <c r="G46" s="66" t="s">
        <v>188</v>
      </c>
      <c r="H46" s="66"/>
      <c r="I46" s="66" t="s">
        <v>189</v>
      </c>
      <c r="J46" s="66"/>
      <c r="K46" s="66" t="s">
        <v>190</v>
      </c>
      <c r="L46" s="66"/>
      <c r="M46" s="66" t="s">
        <v>161</v>
      </c>
      <c r="N46" s="80"/>
      <c r="P46" s="80"/>
      <c r="R46" s="80"/>
      <c r="T46" s="80"/>
      <c r="V46" s="80"/>
      <c r="X46" s="80"/>
      <c r="Z46" s="80"/>
      <c r="AB46" s="80"/>
      <c r="AD46" s="80"/>
      <c r="AF46" s="80"/>
      <c r="BI46"/>
    </row>
    <row r="47" spans="1:61" s="81" customFormat="1" ht="12.75">
      <c r="A47" s="84"/>
      <c r="F47" s="80"/>
      <c r="H47" s="80"/>
      <c r="J47" s="80"/>
      <c r="L47" s="80"/>
      <c r="N47" s="80"/>
      <c r="P47" s="80"/>
      <c r="R47" s="80"/>
      <c r="T47" s="80"/>
      <c r="V47" s="80"/>
      <c r="X47" s="80"/>
      <c r="Z47" s="80"/>
      <c r="AB47" s="80"/>
      <c r="AD47" s="80"/>
      <c r="AF47" s="80"/>
      <c r="BI47"/>
    </row>
    <row r="48" spans="1:61" s="79" customFormat="1" ht="12.75">
      <c r="A48" s="84"/>
      <c r="B48" s="79" t="s">
        <v>12</v>
      </c>
      <c r="C48" s="79" t="s">
        <v>270</v>
      </c>
      <c r="D48" s="79" t="s">
        <v>13</v>
      </c>
      <c r="E48" s="79" t="s">
        <v>14</v>
      </c>
      <c r="F48" s="80" t="s">
        <v>191</v>
      </c>
      <c r="G48" s="79">
        <v>0.012900127968</v>
      </c>
      <c r="H48" s="80" t="s">
        <v>191</v>
      </c>
      <c r="I48" s="79">
        <v>0.020300201376</v>
      </c>
      <c r="J48" s="80" t="s">
        <v>191</v>
      </c>
      <c r="K48" s="79">
        <v>0.019600194432</v>
      </c>
      <c r="L48" s="80" t="s">
        <v>191</v>
      </c>
      <c r="M48" s="79">
        <f aca="true" t="shared" si="2" ref="M48:M57">AVERAGE(G48,I48,K48)</f>
        <v>0.017600174591999997</v>
      </c>
      <c r="N48" s="80" t="s">
        <v>191</v>
      </c>
      <c r="P48" s="80" t="s">
        <v>191</v>
      </c>
      <c r="R48" s="80" t="s">
        <v>191</v>
      </c>
      <c r="T48" s="80" t="s">
        <v>191</v>
      </c>
      <c r="V48" s="80" t="s">
        <v>191</v>
      </c>
      <c r="X48" s="80" t="s">
        <v>191</v>
      </c>
      <c r="Z48" s="80" t="s">
        <v>191</v>
      </c>
      <c r="AB48" s="80" t="s">
        <v>191</v>
      </c>
      <c r="AD48" s="80" t="s">
        <v>191</v>
      </c>
      <c r="AF48" s="80" t="s">
        <v>191</v>
      </c>
      <c r="BI48"/>
    </row>
    <row r="49" spans="1:61" s="81" customFormat="1" ht="12.75">
      <c r="A49" s="84"/>
      <c r="B49" s="81" t="s">
        <v>49</v>
      </c>
      <c r="C49" s="81" t="s">
        <v>270</v>
      </c>
      <c r="D49" s="81" t="s">
        <v>15</v>
      </c>
      <c r="E49" s="79" t="s">
        <v>14</v>
      </c>
      <c r="F49" s="80" t="s">
        <v>191</v>
      </c>
      <c r="G49" s="81">
        <v>41.454418544014736</v>
      </c>
      <c r="H49" s="80" t="s">
        <v>191</v>
      </c>
      <c r="I49" s="81">
        <v>44.440998572275</v>
      </c>
      <c r="J49" s="80" t="s">
        <v>191</v>
      </c>
      <c r="K49" s="81">
        <v>21.603344753965505</v>
      </c>
      <c r="L49" s="80" t="s">
        <v>191</v>
      </c>
      <c r="M49" s="81">
        <f t="shared" si="2"/>
        <v>35.83292062341841</v>
      </c>
      <c r="N49" s="80" t="s">
        <v>191</v>
      </c>
      <c r="O49" s="81" t="s">
        <v>195</v>
      </c>
      <c r="P49" s="80" t="s">
        <v>191</v>
      </c>
      <c r="R49" s="80" t="s">
        <v>191</v>
      </c>
      <c r="T49" s="80" t="s">
        <v>191</v>
      </c>
      <c r="V49" s="80" t="s">
        <v>191</v>
      </c>
      <c r="X49" s="80" t="s">
        <v>191</v>
      </c>
      <c r="Z49" s="80" t="s">
        <v>191</v>
      </c>
      <c r="AB49" s="80" t="s">
        <v>191</v>
      </c>
      <c r="AD49" s="80" t="s">
        <v>191</v>
      </c>
      <c r="AF49" s="80" t="s">
        <v>191</v>
      </c>
      <c r="BI49"/>
    </row>
    <row r="50" spans="1:61" s="81" customFormat="1" ht="12.75">
      <c r="A50" s="84"/>
      <c r="B50" s="81" t="s">
        <v>81</v>
      </c>
      <c r="C50" s="81" t="s">
        <v>271</v>
      </c>
      <c r="D50" s="81" t="s">
        <v>54</v>
      </c>
      <c r="E50" s="79" t="s">
        <v>14</v>
      </c>
      <c r="F50" s="80" t="s">
        <v>28</v>
      </c>
      <c r="G50" s="81">
        <v>2.5498963427407406</v>
      </c>
      <c r="H50" s="80" t="s">
        <v>28</v>
      </c>
      <c r="I50" s="81">
        <v>2.5826897077568</v>
      </c>
      <c r="J50" s="80" t="s">
        <v>28</v>
      </c>
      <c r="K50" s="81">
        <v>2.6109812312609795</v>
      </c>
      <c r="L50" s="80">
        <v>100</v>
      </c>
      <c r="M50" s="81">
        <f t="shared" si="2"/>
        <v>2.5811890939195066</v>
      </c>
      <c r="N50" s="80" t="s">
        <v>191</v>
      </c>
      <c r="P50" s="80" t="s">
        <v>191</v>
      </c>
      <c r="R50" s="80" t="s">
        <v>191</v>
      </c>
      <c r="T50" s="80" t="s">
        <v>191</v>
      </c>
      <c r="V50" s="80" t="s">
        <v>191</v>
      </c>
      <c r="X50" s="80" t="s">
        <v>191</v>
      </c>
      <c r="Z50" s="80" t="s">
        <v>191</v>
      </c>
      <c r="AB50" s="80" t="s">
        <v>191</v>
      </c>
      <c r="AD50" s="80" t="s">
        <v>191</v>
      </c>
      <c r="AF50" s="80" t="s">
        <v>191</v>
      </c>
      <c r="BI50"/>
    </row>
    <row r="51" spans="1:61" s="81" customFormat="1" ht="12.75">
      <c r="A51" s="84"/>
      <c r="B51" s="81" t="s">
        <v>83</v>
      </c>
      <c r="C51" s="81" t="s">
        <v>271</v>
      </c>
      <c r="D51" s="81" t="s">
        <v>54</v>
      </c>
      <c r="E51" s="79" t="s">
        <v>14</v>
      </c>
      <c r="F51" s="80" t="s">
        <v>28</v>
      </c>
      <c r="G51" s="81">
        <v>0.06629730491125926</v>
      </c>
      <c r="H51" s="80" t="s">
        <v>28</v>
      </c>
      <c r="I51" s="81">
        <v>0.06714993240167672</v>
      </c>
      <c r="J51" s="80" t="s">
        <v>28</v>
      </c>
      <c r="K51" s="81">
        <v>0.06788551201278546</v>
      </c>
      <c r="L51" s="80">
        <v>100</v>
      </c>
      <c r="M51" s="81">
        <f t="shared" si="2"/>
        <v>0.06711091644190714</v>
      </c>
      <c r="N51" s="80" t="s">
        <v>191</v>
      </c>
      <c r="P51" s="80" t="s">
        <v>191</v>
      </c>
      <c r="R51" s="80" t="s">
        <v>191</v>
      </c>
      <c r="T51" s="80" t="s">
        <v>191</v>
      </c>
      <c r="V51" s="80" t="s">
        <v>191</v>
      </c>
      <c r="X51" s="80" t="s">
        <v>191</v>
      </c>
      <c r="Z51" s="80" t="s">
        <v>191</v>
      </c>
      <c r="AB51" s="80" t="s">
        <v>191</v>
      </c>
      <c r="AD51" s="80" t="s">
        <v>191</v>
      </c>
      <c r="AF51" s="80" t="s">
        <v>191</v>
      </c>
      <c r="BI51"/>
    </row>
    <row r="52" spans="1:61" s="81" customFormat="1" ht="12.75">
      <c r="A52" s="84"/>
      <c r="B52" s="81" t="s">
        <v>84</v>
      </c>
      <c r="C52" s="81" t="s">
        <v>271</v>
      </c>
      <c r="D52" s="81" t="s">
        <v>54</v>
      </c>
      <c r="E52" s="79" t="s">
        <v>14</v>
      </c>
      <c r="F52" s="80" t="s">
        <v>191</v>
      </c>
      <c r="G52" s="81">
        <v>1.7339295130637</v>
      </c>
      <c r="H52" s="80" t="s">
        <v>191</v>
      </c>
      <c r="I52" s="81">
        <v>1.2913448538784</v>
      </c>
      <c r="J52" s="80" t="s">
        <v>191</v>
      </c>
      <c r="K52" s="81">
        <v>0.9921728678791721</v>
      </c>
      <c r="L52" s="80" t="s">
        <v>191</v>
      </c>
      <c r="M52" s="81">
        <f t="shared" si="2"/>
        <v>1.3391490782737574</v>
      </c>
      <c r="N52" s="80" t="s">
        <v>191</v>
      </c>
      <c r="P52" s="80" t="s">
        <v>191</v>
      </c>
      <c r="R52" s="80" t="s">
        <v>191</v>
      </c>
      <c r="T52" s="80" t="s">
        <v>191</v>
      </c>
      <c r="V52" s="80" t="s">
        <v>191</v>
      </c>
      <c r="X52" s="80" t="s">
        <v>191</v>
      </c>
      <c r="Z52" s="80" t="s">
        <v>191</v>
      </c>
      <c r="AB52" s="80" t="s">
        <v>191</v>
      </c>
      <c r="AD52" s="80" t="s">
        <v>191</v>
      </c>
      <c r="AF52" s="80" t="s">
        <v>191</v>
      </c>
      <c r="BI52"/>
    </row>
    <row r="53" spans="1:61" s="81" customFormat="1" ht="12.75">
      <c r="A53" s="84"/>
      <c r="B53" s="81" t="s">
        <v>113</v>
      </c>
      <c r="C53" s="81" t="s">
        <v>271</v>
      </c>
      <c r="D53" s="81" t="s">
        <v>54</v>
      </c>
      <c r="E53" s="79" t="s">
        <v>14</v>
      </c>
      <c r="F53" s="80" t="s">
        <v>191</v>
      </c>
      <c r="G53" s="81">
        <v>32.68967111393629</v>
      </c>
      <c r="H53" s="80" t="s">
        <v>191</v>
      </c>
      <c r="I53" s="81">
        <v>5.1653794155136</v>
      </c>
      <c r="J53" s="80" t="s">
        <v>191</v>
      </c>
      <c r="K53" s="81">
        <v>5.639719459523715</v>
      </c>
      <c r="L53" s="80" t="s">
        <v>191</v>
      </c>
      <c r="M53" s="81">
        <f t="shared" si="2"/>
        <v>14.498256662991201</v>
      </c>
      <c r="N53" s="80" t="s">
        <v>191</v>
      </c>
      <c r="P53" s="80" t="s">
        <v>191</v>
      </c>
      <c r="R53" s="80" t="s">
        <v>191</v>
      </c>
      <c r="T53" s="80" t="s">
        <v>191</v>
      </c>
      <c r="V53" s="80" t="s">
        <v>191</v>
      </c>
      <c r="X53" s="80" t="s">
        <v>191</v>
      </c>
      <c r="Z53" s="80" t="s">
        <v>191</v>
      </c>
      <c r="AB53" s="80" t="s">
        <v>191</v>
      </c>
      <c r="AD53" s="80" t="s">
        <v>191</v>
      </c>
      <c r="AF53" s="80" t="s">
        <v>191</v>
      </c>
      <c r="BI53"/>
    </row>
    <row r="54" spans="1:61" s="81" customFormat="1" ht="12.75">
      <c r="A54" s="84"/>
      <c r="B54" s="81" t="s">
        <v>79</v>
      </c>
      <c r="C54" s="81" t="s">
        <v>271</v>
      </c>
      <c r="D54" s="81" t="s">
        <v>54</v>
      </c>
      <c r="E54" s="79" t="s">
        <v>14</v>
      </c>
      <c r="F54" s="80" t="s">
        <v>191</v>
      </c>
      <c r="G54" s="81">
        <v>89.756351264474</v>
      </c>
      <c r="H54" s="80" t="s">
        <v>191</v>
      </c>
      <c r="I54" s="81">
        <v>51.653794155136</v>
      </c>
      <c r="J54" s="80" t="s">
        <v>191</v>
      </c>
      <c r="K54" s="81">
        <v>37.075933483906</v>
      </c>
      <c r="L54" s="80" t="s">
        <v>191</v>
      </c>
      <c r="M54" s="81">
        <f t="shared" si="2"/>
        <v>59.49535963450533</v>
      </c>
      <c r="N54" s="80" t="s">
        <v>191</v>
      </c>
      <c r="P54" s="80" t="s">
        <v>191</v>
      </c>
      <c r="R54" s="80" t="s">
        <v>191</v>
      </c>
      <c r="T54" s="80" t="s">
        <v>191</v>
      </c>
      <c r="V54" s="80" t="s">
        <v>191</v>
      </c>
      <c r="X54" s="80" t="s">
        <v>191</v>
      </c>
      <c r="Z54" s="80" t="s">
        <v>191</v>
      </c>
      <c r="AB54" s="80" t="s">
        <v>191</v>
      </c>
      <c r="AD54" s="80" t="s">
        <v>191</v>
      </c>
      <c r="AF54" s="80" t="s">
        <v>191</v>
      </c>
      <c r="BI54"/>
    </row>
    <row r="55" spans="1:61" s="81" customFormat="1" ht="12.75">
      <c r="A55" s="84"/>
      <c r="B55" s="81" t="s">
        <v>85</v>
      </c>
      <c r="C55" s="81" t="s">
        <v>271</v>
      </c>
      <c r="D55" s="81" t="s">
        <v>54</v>
      </c>
      <c r="E55" s="79" t="s">
        <v>14</v>
      </c>
      <c r="F55" s="80" t="s">
        <v>191</v>
      </c>
      <c r="G55" s="81">
        <v>27.997861843293332</v>
      </c>
      <c r="H55" s="80" t="s">
        <v>191</v>
      </c>
      <c r="I55" s="81">
        <v>24.225629458758753</v>
      </c>
      <c r="J55" s="80" t="s">
        <v>191</v>
      </c>
      <c r="K55" s="81">
        <v>50.80969476033865</v>
      </c>
      <c r="L55" s="80" t="s">
        <v>191</v>
      </c>
      <c r="M55" s="81">
        <f t="shared" si="2"/>
        <v>34.34439535413025</v>
      </c>
      <c r="N55" s="80" t="s">
        <v>191</v>
      </c>
      <c r="P55" s="80" t="s">
        <v>191</v>
      </c>
      <c r="R55" s="80" t="s">
        <v>191</v>
      </c>
      <c r="T55" s="80" t="s">
        <v>191</v>
      </c>
      <c r="V55" s="80" t="s">
        <v>191</v>
      </c>
      <c r="X55" s="80" t="s">
        <v>191</v>
      </c>
      <c r="Z55" s="80" t="s">
        <v>191</v>
      </c>
      <c r="AB55" s="80" t="s">
        <v>191</v>
      </c>
      <c r="AD55" s="80" t="s">
        <v>191</v>
      </c>
      <c r="AF55" s="80" t="s">
        <v>191</v>
      </c>
      <c r="BI55"/>
    </row>
    <row r="56" spans="1:61" s="81" customFormat="1" ht="12.75">
      <c r="A56" s="84"/>
      <c r="B56" s="81" t="s">
        <v>55</v>
      </c>
      <c r="C56" s="81" t="s">
        <v>271</v>
      </c>
      <c r="D56" s="81" t="s">
        <v>54</v>
      </c>
      <c r="E56" s="79" t="s">
        <v>14</v>
      </c>
      <c r="F56" s="80"/>
      <c r="G56" s="81">
        <f>G52+G54</f>
        <v>91.4902807775377</v>
      </c>
      <c r="H56" s="80"/>
      <c r="I56" s="81">
        <f>I52+I54</f>
        <v>52.9451390090144</v>
      </c>
      <c r="J56" s="80"/>
      <c r="K56" s="81">
        <f>K52+K54</f>
        <v>38.06810635178517</v>
      </c>
      <c r="L56" s="80"/>
      <c r="M56" s="81">
        <f t="shared" si="2"/>
        <v>60.83450871277909</v>
      </c>
      <c r="N56" s="80"/>
      <c r="P56" s="80"/>
      <c r="R56" s="80"/>
      <c r="T56" s="80"/>
      <c r="V56" s="80"/>
      <c r="X56" s="80"/>
      <c r="Z56" s="80"/>
      <c r="AB56" s="80"/>
      <c r="AD56" s="80"/>
      <c r="AF56" s="80"/>
      <c r="BI56"/>
    </row>
    <row r="57" spans="1:61" s="81" customFormat="1" ht="12.75">
      <c r="A57" s="84"/>
      <c r="B57" s="81" t="s">
        <v>56</v>
      </c>
      <c r="C57" s="81" t="s">
        <v>271</v>
      </c>
      <c r="D57" s="81" t="s">
        <v>54</v>
      </c>
      <c r="E57" s="79" t="s">
        <v>14</v>
      </c>
      <c r="F57" s="80">
        <f>(G51+G50)/G57*100</f>
        <v>7.41008233424816</v>
      </c>
      <c r="G57" s="81">
        <f>G53+G51+G50</f>
        <v>35.30586476158829</v>
      </c>
      <c r="H57" s="80">
        <f>(I51+I50)/I57*100</f>
        <v>33.906146728354265</v>
      </c>
      <c r="I57" s="81">
        <f>I53+I51+I50</f>
        <v>7.815219055672077</v>
      </c>
      <c r="J57" s="80">
        <f>(K51+K50)/K57*100</f>
        <v>32.20338983050848</v>
      </c>
      <c r="K57" s="81">
        <f>K53+K51+K50</f>
        <v>8.31858620279748</v>
      </c>
      <c r="L57" s="80">
        <f>(F57*G57+H57*I57+J57*K57)/(3*M57)</f>
        <v>15.445083586240523</v>
      </c>
      <c r="M57" s="81">
        <f t="shared" si="2"/>
        <v>17.146556673352617</v>
      </c>
      <c r="N57" s="80"/>
      <c r="P57" s="80"/>
      <c r="R57" s="80"/>
      <c r="T57" s="80"/>
      <c r="V57" s="80"/>
      <c r="X57" s="80"/>
      <c r="Z57" s="80"/>
      <c r="AB57" s="80"/>
      <c r="AD57" s="80"/>
      <c r="AF57" s="80"/>
      <c r="BI57"/>
    </row>
    <row r="58" spans="1:61" s="82" customFormat="1" ht="12.75">
      <c r="A58" s="84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BI58"/>
    </row>
    <row r="59" spans="1:61" s="82" customFormat="1" ht="12.75">
      <c r="A59" s="84"/>
      <c r="B59" s="81" t="s">
        <v>96</v>
      </c>
      <c r="C59" s="82" t="s">
        <v>194</v>
      </c>
      <c r="D59" s="81" t="s">
        <v>270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BI59"/>
    </row>
    <row r="60" spans="1:61" s="82" customFormat="1" ht="12.75">
      <c r="A60" s="84"/>
      <c r="B60" s="12" t="s">
        <v>78</v>
      </c>
      <c r="C60" s="12"/>
      <c r="D60" s="12" t="s">
        <v>16</v>
      </c>
      <c r="G60" s="80">
        <v>100109</v>
      </c>
      <c r="H60" s="80"/>
      <c r="I60" s="80">
        <v>97662</v>
      </c>
      <c r="J60" s="80"/>
      <c r="K60" s="80">
        <v>98118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BI60"/>
    </row>
    <row r="61" spans="1:61" s="82" customFormat="1" ht="12.75">
      <c r="A61" s="84"/>
      <c r="B61" s="12" t="s">
        <v>93</v>
      </c>
      <c r="C61" s="12"/>
      <c r="D61" s="12" t="s">
        <v>17</v>
      </c>
      <c r="G61" s="80">
        <v>8.6</v>
      </c>
      <c r="H61" s="80"/>
      <c r="I61" s="80">
        <v>8.5</v>
      </c>
      <c r="J61" s="80"/>
      <c r="K61" s="80">
        <v>8.5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BI61"/>
    </row>
    <row r="62" spans="1:61" s="82" customFormat="1" ht="12.75">
      <c r="A62" s="84"/>
      <c r="B62" s="12" t="s">
        <v>94</v>
      </c>
      <c r="C62" s="12"/>
      <c r="D62" s="12" t="s">
        <v>17</v>
      </c>
      <c r="G62" s="80">
        <v>31.54</v>
      </c>
      <c r="H62" s="80"/>
      <c r="I62" s="80">
        <v>31.55</v>
      </c>
      <c r="J62" s="80"/>
      <c r="K62" s="80">
        <v>31.11</v>
      </c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BI62"/>
    </row>
    <row r="63" spans="1:61" s="82" customFormat="1" ht="12.75">
      <c r="A63" s="84"/>
      <c r="B63" s="12" t="s">
        <v>77</v>
      </c>
      <c r="C63" s="12"/>
      <c r="D63" s="12" t="s">
        <v>18</v>
      </c>
      <c r="G63" s="80">
        <v>466.3</v>
      </c>
      <c r="H63" s="80"/>
      <c r="I63" s="80">
        <v>477.3</v>
      </c>
      <c r="J63" s="80"/>
      <c r="K63" s="80">
        <v>489.1</v>
      </c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BI63"/>
    </row>
    <row r="64" spans="1:61" s="81" customFormat="1" ht="12" customHeight="1">
      <c r="A64" s="84"/>
      <c r="F64" s="80"/>
      <c r="H64" s="80"/>
      <c r="J64" s="80"/>
      <c r="L64" s="80"/>
      <c r="N64" s="80"/>
      <c r="P64" s="80"/>
      <c r="R64" s="80"/>
      <c r="T64" s="80"/>
      <c r="V64" s="80"/>
      <c r="X64" s="80"/>
      <c r="Z64" s="80"/>
      <c r="AB64" s="80"/>
      <c r="AD64" s="80"/>
      <c r="AF64" s="80"/>
      <c r="BI64"/>
    </row>
    <row r="65" spans="1:61" s="81" customFormat="1" ht="12.75">
      <c r="A65" s="84"/>
      <c r="B65" s="81" t="s">
        <v>96</v>
      </c>
      <c r="C65" s="82" t="s">
        <v>109</v>
      </c>
      <c r="D65" s="81" t="s">
        <v>271</v>
      </c>
      <c r="F65" s="80"/>
      <c r="H65" s="80"/>
      <c r="J65" s="80"/>
      <c r="L65" s="80"/>
      <c r="N65" s="80"/>
      <c r="P65" s="80"/>
      <c r="R65" s="80"/>
      <c r="T65" s="80"/>
      <c r="V65" s="80"/>
      <c r="X65" s="80"/>
      <c r="Z65" s="80"/>
      <c r="AB65" s="80"/>
      <c r="AD65" s="80"/>
      <c r="AF65" s="80"/>
      <c r="BI65"/>
    </row>
    <row r="66" spans="1:61" s="82" customFormat="1" ht="12.75">
      <c r="A66" s="84"/>
      <c r="B66" s="12" t="s">
        <v>78</v>
      </c>
      <c r="C66" s="12"/>
      <c r="D66" s="12" t="s">
        <v>16</v>
      </c>
      <c r="G66" s="80">
        <v>102628</v>
      </c>
      <c r="H66" s="80"/>
      <c r="I66" s="80">
        <v>101742</v>
      </c>
      <c r="J66" s="80"/>
      <c r="K66" s="80">
        <v>104595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BI66"/>
    </row>
    <row r="67" spans="1:61" s="82" customFormat="1" ht="12.75">
      <c r="A67" s="84"/>
      <c r="B67" s="12" t="s">
        <v>93</v>
      </c>
      <c r="C67" s="12"/>
      <c r="D67" s="12" t="s">
        <v>17</v>
      </c>
      <c r="G67" s="80">
        <v>8</v>
      </c>
      <c r="H67" s="80"/>
      <c r="I67" s="80">
        <v>8.3</v>
      </c>
      <c r="J67" s="80"/>
      <c r="K67" s="80">
        <v>8.5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BI67"/>
    </row>
    <row r="68" spans="1:61" s="82" customFormat="1" ht="12.75">
      <c r="A68" s="84"/>
      <c r="B68" s="12" t="s">
        <v>94</v>
      </c>
      <c r="C68" s="12"/>
      <c r="D68" s="12" t="s">
        <v>17</v>
      </c>
      <c r="G68" s="80">
        <v>32.07</v>
      </c>
      <c r="H68" s="80"/>
      <c r="I68" s="80">
        <v>31.49</v>
      </c>
      <c r="J68" s="80"/>
      <c r="K68" s="80">
        <v>32.05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BI68"/>
    </row>
    <row r="69" spans="1:61" s="82" customFormat="1" ht="12.75">
      <c r="A69" s="84"/>
      <c r="B69" s="12" t="s">
        <v>77</v>
      </c>
      <c r="C69" s="12"/>
      <c r="D69" s="12" t="s">
        <v>18</v>
      </c>
      <c r="G69" s="80">
        <v>476.5</v>
      </c>
      <c r="H69" s="80"/>
      <c r="I69" s="80">
        <v>495.2</v>
      </c>
      <c r="J69" s="80"/>
      <c r="K69" s="80">
        <v>500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BI69"/>
    </row>
    <row r="70" spans="1:61" s="82" customFormat="1" ht="12.75">
      <c r="A70" s="84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BI70"/>
    </row>
    <row r="71" spans="1:61" s="82" customFormat="1" ht="12.75">
      <c r="A71" s="84"/>
      <c r="B71" s="82" t="s">
        <v>245</v>
      </c>
      <c r="C71" s="82" t="s">
        <v>270</v>
      </c>
      <c r="D71" s="82" t="s">
        <v>17</v>
      </c>
      <c r="G71" s="80">
        <v>99.99998</v>
      </c>
      <c r="H71" s="80"/>
      <c r="I71" s="80">
        <v>99.99998</v>
      </c>
      <c r="J71" s="80"/>
      <c r="K71" s="80">
        <v>99.99998</v>
      </c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I71"/>
    </row>
    <row r="72" spans="1:61" s="82" customFormat="1" ht="12.75">
      <c r="A72" s="84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BI72"/>
    </row>
    <row r="73" spans="1:61" s="82" customFormat="1" ht="12.75">
      <c r="A73" s="84">
        <v>3</v>
      </c>
      <c r="B73" s="24" t="s">
        <v>172</v>
      </c>
      <c r="G73" s="66" t="s">
        <v>188</v>
      </c>
      <c r="H73" s="66"/>
      <c r="I73" s="66" t="s">
        <v>189</v>
      </c>
      <c r="J73" s="66"/>
      <c r="K73" s="66" t="s">
        <v>190</v>
      </c>
      <c r="L73" s="66"/>
      <c r="M73" s="66" t="s">
        <v>161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BI73"/>
    </row>
    <row r="74" spans="1:61" s="82" customFormat="1" ht="12.75">
      <c r="A74" s="84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BI74"/>
    </row>
    <row r="75" spans="1:61" s="81" customFormat="1" ht="12.75">
      <c r="A75" s="84"/>
      <c r="B75" s="81" t="s">
        <v>96</v>
      </c>
      <c r="C75" s="82" t="s">
        <v>196</v>
      </c>
      <c r="D75" s="81" t="s">
        <v>270</v>
      </c>
      <c r="F75" s="80"/>
      <c r="H75" s="80"/>
      <c r="J75" s="80"/>
      <c r="L75" s="80"/>
      <c r="N75" s="80"/>
      <c r="P75" s="80"/>
      <c r="R75" s="80"/>
      <c r="T75" s="80"/>
      <c r="V75" s="80"/>
      <c r="X75" s="80"/>
      <c r="Z75" s="80"/>
      <c r="AB75" s="80"/>
      <c r="AD75" s="80"/>
      <c r="AF75" s="80"/>
      <c r="BI75"/>
    </row>
    <row r="76" spans="1:61" s="82" customFormat="1" ht="12.75">
      <c r="A76" s="84"/>
      <c r="B76" s="12" t="s">
        <v>78</v>
      </c>
      <c r="C76" s="12"/>
      <c r="D76" s="12" t="s">
        <v>16</v>
      </c>
      <c r="G76" s="80">
        <v>115709</v>
      </c>
      <c r="H76" s="80"/>
      <c r="I76" s="80">
        <v>118327</v>
      </c>
      <c r="J76" s="80"/>
      <c r="K76" s="80">
        <v>112853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BI76"/>
    </row>
    <row r="77" spans="1:61" s="82" customFormat="1" ht="12.75">
      <c r="A77" s="84"/>
      <c r="B77" s="12" t="s">
        <v>93</v>
      </c>
      <c r="C77" s="12"/>
      <c r="D77" s="12" t="s">
        <v>17</v>
      </c>
      <c r="G77" s="80">
        <v>11.2</v>
      </c>
      <c r="H77" s="80"/>
      <c r="I77" s="80">
        <v>11.6</v>
      </c>
      <c r="J77" s="80"/>
      <c r="K77" s="80">
        <v>11.8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BI77"/>
    </row>
    <row r="78" spans="1:61" s="82" customFormat="1" ht="12.75">
      <c r="A78" s="84"/>
      <c r="B78" s="12" t="s">
        <v>94</v>
      </c>
      <c r="C78" s="12"/>
      <c r="D78" s="12" t="s">
        <v>17</v>
      </c>
      <c r="G78" s="80">
        <v>30.51</v>
      </c>
      <c r="H78" s="80"/>
      <c r="I78" s="80">
        <v>29.02</v>
      </c>
      <c r="J78" s="80"/>
      <c r="K78" s="80">
        <v>29.15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BI78"/>
    </row>
    <row r="79" spans="1:61" s="82" customFormat="1" ht="12.75">
      <c r="A79" s="84"/>
      <c r="B79" s="12" t="s">
        <v>77</v>
      </c>
      <c r="C79" s="12"/>
      <c r="D79" s="12" t="s">
        <v>18</v>
      </c>
      <c r="G79" s="80">
        <v>455.3</v>
      </c>
      <c r="H79" s="80"/>
      <c r="I79" s="80">
        <v>443</v>
      </c>
      <c r="J79" s="80"/>
      <c r="K79" s="80">
        <v>455.7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BI79"/>
    </row>
    <row r="80" spans="1:61" s="82" customFormat="1" ht="12.75">
      <c r="A80" s="84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BI80"/>
    </row>
    <row r="81" spans="1:61" s="82" customFormat="1" ht="12.75">
      <c r="A81" s="84"/>
      <c r="B81" s="82" t="s">
        <v>246</v>
      </c>
      <c r="C81" s="82" t="s">
        <v>270</v>
      </c>
      <c r="D81" s="82" t="s">
        <v>17</v>
      </c>
      <c r="G81" s="80">
        <v>99.9972</v>
      </c>
      <c r="H81" s="80"/>
      <c r="I81" s="80">
        <v>99.9925</v>
      </c>
      <c r="J81" s="80"/>
      <c r="K81" s="80">
        <v>99.9943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I81"/>
    </row>
    <row r="82" spans="1:61" s="82" customFormat="1" ht="12.75">
      <c r="A82" s="84"/>
      <c r="B82" s="82" t="s">
        <v>244</v>
      </c>
      <c r="C82" s="82" t="s">
        <v>270</v>
      </c>
      <c r="D82" s="82" t="s">
        <v>17</v>
      </c>
      <c r="G82" s="80">
        <v>99.9955</v>
      </c>
      <c r="H82" s="80"/>
      <c r="I82" s="80">
        <v>99.9924</v>
      </c>
      <c r="J82" s="80"/>
      <c r="K82" s="80">
        <v>99.9939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I82"/>
    </row>
    <row r="83" spans="1:61" s="82" customFormat="1" ht="12.75">
      <c r="A83" s="84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BI83"/>
    </row>
    <row r="84" spans="1:61" s="82" customFormat="1" ht="12.75">
      <c r="A84" s="84">
        <v>4</v>
      </c>
      <c r="B84" s="24" t="s">
        <v>177</v>
      </c>
      <c r="G84" s="66" t="s">
        <v>188</v>
      </c>
      <c r="H84" s="66"/>
      <c r="I84" s="66" t="s">
        <v>189</v>
      </c>
      <c r="J84" s="66"/>
      <c r="K84" s="66" t="s">
        <v>190</v>
      </c>
      <c r="L84" s="66"/>
      <c r="M84" s="66" t="s">
        <v>161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BI84"/>
    </row>
    <row r="85" spans="1:61" s="81" customFormat="1" ht="12.75">
      <c r="A85" s="84"/>
      <c r="F85" s="80"/>
      <c r="H85" s="80"/>
      <c r="J85" s="80"/>
      <c r="L85" s="80"/>
      <c r="N85" s="80"/>
      <c r="P85" s="80"/>
      <c r="R85" s="80"/>
      <c r="T85" s="80"/>
      <c r="V85" s="80"/>
      <c r="X85" s="80"/>
      <c r="Z85" s="80"/>
      <c r="AB85" s="80"/>
      <c r="AD85" s="80"/>
      <c r="AF85" s="80"/>
      <c r="BI85"/>
    </row>
    <row r="86" spans="1:61" s="79" customFormat="1" ht="12.75">
      <c r="A86" s="84"/>
      <c r="B86" s="79" t="s">
        <v>12</v>
      </c>
      <c r="C86" s="79" t="s">
        <v>270</v>
      </c>
      <c r="D86" s="79" t="s">
        <v>13</v>
      </c>
      <c r="E86" s="79" t="s">
        <v>14</v>
      </c>
      <c r="F86" s="80" t="s">
        <v>191</v>
      </c>
      <c r="G86" s="79">
        <v>0.017200170624</v>
      </c>
      <c r="H86" s="80" t="s">
        <v>191</v>
      </c>
      <c r="I86" s="79">
        <v>0.013400132928</v>
      </c>
      <c r="J86" s="80" t="s">
        <v>191</v>
      </c>
      <c r="K86" s="79">
        <v>0.017700175584</v>
      </c>
      <c r="L86" s="80" t="s">
        <v>191</v>
      </c>
      <c r="M86" s="79">
        <f>AVERAGE(G86,I86,K86)</f>
        <v>0.016100159712</v>
      </c>
      <c r="N86" s="80" t="s">
        <v>191</v>
      </c>
      <c r="P86" s="80" t="s">
        <v>191</v>
      </c>
      <c r="R86" s="80" t="s">
        <v>191</v>
      </c>
      <c r="T86" s="80" t="s">
        <v>191</v>
      </c>
      <c r="V86" s="80" t="s">
        <v>191</v>
      </c>
      <c r="X86" s="80" t="s">
        <v>191</v>
      </c>
      <c r="Z86" s="80" t="s">
        <v>191</v>
      </c>
      <c r="AB86" s="80" t="s">
        <v>191</v>
      </c>
      <c r="AD86" s="80" t="s">
        <v>191</v>
      </c>
      <c r="AF86" s="80" t="s">
        <v>191</v>
      </c>
      <c r="BI86"/>
    </row>
    <row r="87" spans="1:61" s="79" customFormat="1" ht="12.75">
      <c r="A87" s="84"/>
      <c r="B87" s="79" t="s">
        <v>49</v>
      </c>
      <c r="D87" s="79" t="s">
        <v>130</v>
      </c>
      <c r="E87" s="79" t="s">
        <v>152</v>
      </c>
      <c r="F87" s="80"/>
      <c r="G87" s="84">
        <v>39827</v>
      </c>
      <c r="H87" s="84"/>
      <c r="I87" s="84">
        <v>40892</v>
      </c>
      <c r="J87" s="84"/>
      <c r="K87" s="84">
        <v>36583</v>
      </c>
      <c r="L87" s="80"/>
      <c r="N87" s="80"/>
      <c r="P87" s="80"/>
      <c r="R87" s="80"/>
      <c r="T87" s="80"/>
      <c r="V87" s="80"/>
      <c r="X87" s="80"/>
      <c r="Z87" s="80"/>
      <c r="AB87" s="80"/>
      <c r="AD87" s="80"/>
      <c r="AF87" s="80"/>
      <c r="BI87"/>
    </row>
    <row r="88" spans="1:61" s="79" customFormat="1" ht="12.75">
      <c r="A88" s="84"/>
      <c r="B88" s="79" t="s">
        <v>50</v>
      </c>
      <c r="D88" s="79" t="s">
        <v>130</v>
      </c>
      <c r="E88" s="79" t="s">
        <v>152</v>
      </c>
      <c r="F88" s="80"/>
      <c r="G88" s="84">
        <v>286.3</v>
      </c>
      <c r="H88" s="84"/>
      <c r="I88" s="84">
        <v>151.9</v>
      </c>
      <c r="J88" s="84"/>
      <c r="K88" s="84">
        <v>113.4</v>
      </c>
      <c r="L88" s="80"/>
      <c r="N88" s="80"/>
      <c r="P88" s="80"/>
      <c r="R88" s="80"/>
      <c r="T88" s="80"/>
      <c r="V88" s="80"/>
      <c r="X88" s="80"/>
      <c r="Z88" s="80"/>
      <c r="AB88" s="80"/>
      <c r="AD88" s="80"/>
      <c r="AF88" s="80"/>
      <c r="BI88"/>
    </row>
    <row r="89" spans="1:61" s="79" customFormat="1" ht="12.75">
      <c r="A89" s="84"/>
      <c r="B89" s="81" t="s">
        <v>49</v>
      </c>
      <c r="C89" s="81"/>
      <c r="D89" s="81" t="s">
        <v>54</v>
      </c>
      <c r="E89" s="81" t="s">
        <v>152</v>
      </c>
      <c r="F89" s="80"/>
      <c r="G89" s="84">
        <f>G87*1000000/60/G$102/0.0283*14/(21-G$103)</f>
        <v>188847.53434358397</v>
      </c>
      <c r="H89" s="84"/>
      <c r="I89" s="84">
        <f>I87*1000000/60/I$102/0.0283*14/(21-I$103)</f>
        <v>200505.195986201</v>
      </c>
      <c r="J89" s="84"/>
      <c r="K89" s="84">
        <f>K87*1000000/60/K$102/0.0283*14/(21-K$103)</f>
        <v>178175.84566537762</v>
      </c>
      <c r="L89" s="80"/>
      <c r="N89" s="80"/>
      <c r="P89" s="80"/>
      <c r="R89" s="80"/>
      <c r="T89" s="80"/>
      <c r="V89" s="80"/>
      <c r="X89" s="80"/>
      <c r="Z89" s="80"/>
      <c r="AB89" s="80"/>
      <c r="AD89" s="80"/>
      <c r="AF89" s="80"/>
      <c r="BI89"/>
    </row>
    <row r="90" spans="1:61" s="79" customFormat="1" ht="12.75">
      <c r="A90" s="84"/>
      <c r="B90" s="81" t="s">
        <v>50</v>
      </c>
      <c r="C90" s="81"/>
      <c r="D90" s="81" t="s">
        <v>54</v>
      </c>
      <c r="E90" s="81" t="s">
        <v>152</v>
      </c>
      <c r="F90" s="80"/>
      <c r="G90" s="85">
        <f>G88*1000000/60/G$102/0.0283*14/(21-G$103)</f>
        <v>1357.547620522964</v>
      </c>
      <c r="H90" s="84"/>
      <c r="I90" s="85">
        <f>I88*1000000/60/I$102/0.0283*14/(21-I$103)</f>
        <v>744.8092357992742</v>
      </c>
      <c r="J90" s="84"/>
      <c r="K90" s="85">
        <f>K88*1000000/60/K$102/0.0283*14/(21-K$103)</f>
        <v>552.3095672430862</v>
      </c>
      <c r="L90" s="80"/>
      <c r="N90" s="80"/>
      <c r="P90" s="80"/>
      <c r="R90" s="80"/>
      <c r="T90" s="80"/>
      <c r="V90" s="80"/>
      <c r="X90" s="80"/>
      <c r="Z90" s="80"/>
      <c r="AB90" s="80"/>
      <c r="AD90" s="80"/>
      <c r="AF90" s="80"/>
      <c r="BI90"/>
    </row>
    <row r="91" spans="1:61" s="81" customFormat="1" ht="12.75">
      <c r="A91" s="84"/>
      <c r="B91" s="81" t="s">
        <v>49</v>
      </c>
      <c r="C91" s="81" t="s">
        <v>270</v>
      </c>
      <c r="D91" s="81" t="s">
        <v>15</v>
      </c>
      <c r="E91" s="81" t="s">
        <v>14</v>
      </c>
      <c r="F91" s="80" t="s">
        <v>191</v>
      </c>
      <c r="G91" s="81">
        <v>128</v>
      </c>
      <c r="H91" s="80" t="s">
        <v>191</v>
      </c>
      <c r="I91" s="81">
        <v>132.51040948077468</v>
      </c>
      <c r="J91" s="80" t="s">
        <v>191</v>
      </c>
      <c r="K91" s="81">
        <v>117.75332879816</v>
      </c>
      <c r="L91" s="80" t="s">
        <v>191</v>
      </c>
      <c r="M91" s="85">
        <f aca="true" t="shared" si="3" ref="M91:M99">AVERAGE(I91,K91,G91)</f>
        <v>126.0879127596449</v>
      </c>
      <c r="N91" s="80" t="s">
        <v>191</v>
      </c>
      <c r="P91" s="80" t="s">
        <v>191</v>
      </c>
      <c r="R91" s="80" t="s">
        <v>191</v>
      </c>
      <c r="T91" s="80" t="s">
        <v>191</v>
      </c>
      <c r="V91" s="80" t="s">
        <v>191</v>
      </c>
      <c r="X91" s="80" t="s">
        <v>191</v>
      </c>
      <c r="Z91" s="80" t="s">
        <v>191</v>
      </c>
      <c r="AB91" s="80" t="s">
        <v>191</v>
      </c>
      <c r="AD91" s="80" t="s">
        <v>191</v>
      </c>
      <c r="AF91" s="80" t="s">
        <v>191</v>
      </c>
      <c r="BI91"/>
    </row>
    <row r="92" spans="1:61" s="81" customFormat="1" ht="12.75">
      <c r="A92" s="84"/>
      <c r="B92" s="81" t="s">
        <v>50</v>
      </c>
      <c r="C92" s="81" t="s">
        <v>270</v>
      </c>
      <c r="D92" s="81" t="s">
        <v>15</v>
      </c>
      <c r="E92" s="81" t="s">
        <v>14</v>
      </c>
      <c r="F92" s="80" t="s">
        <v>191</v>
      </c>
      <c r="G92" s="81">
        <v>0.4612440052811472</v>
      </c>
      <c r="H92" s="80" t="s">
        <v>191</v>
      </c>
      <c r="I92" s="81">
        <v>0.25305837518842</v>
      </c>
      <c r="J92" s="80" t="s">
        <v>191</v>
      </c>
      <c r="K92" s="81">
        <v>0.18765417367249465</v>
      </c>
      <c r="L92" s="80" t="s">
        <v>191</v>
      </c>
      <c r="M92" s="85">
        <f t="shared" si="3"/>
        <v>0.3006521847140206</v>
      </c>
      <c r="N92" s="80" t="s">
        <v>191</v>
      </c>
      <c r="P92" s="80" t="s">
        <v>191</v>
      </c>
      <c r="R92" s="80" t="s">
        <v>191</v>
      </c>
      <c r="T92" s="80" t="s">
        <v>191</v>
      </c>
      <c r="V92" s="80" t="s">
        <v>191</v>
      </c>
      <c r="X92" s="80" t="s">
        <v>191</v>
      </c>
      <c r="Z92" s="80" t="s">
        <v>191</v>
      </c>
      <c r="AB92" s="80" t="s">
        <v>191</v>
      </c>
      <c r="AD92" s="80" t="s">
        <v>191</v>
      </c>
      <c r="AF92" s="80" t="s">
        <v>191</v>
      </c>
      <c r="BI92"/>
    </row>
    <row r="93" spans="1:61" s="81" customFormat="1" ht="12.75">
      <c r="A93" s="84"/>
      <c r="B93" s="81" t="s">
        <v>95</v>
      </c>
      <c r="C93" s="81" t="s">
        <v>270</v>
      </c>
      <c r="D93" s="81" t="s">
        <v>15</v>
      </c>
      <c r="E93" s="81" t="s">
        <v>14</v>
      </c>
      <c r="F93" s="80"/>
      <c r="G93" s="81">
        <f>G91+2*G92</f>
        <v>128.9224880105623</v>
      </c>
      <c r="H93" s="80"/>
      <c r="I93" s="81">
        <f>I91+2*I92</f>
        <v>133.01652623115152</v>
      </c>
      <c r="J93" s="80"/>
      <c r="K93" s="81">
        <f>K91+2*K92</f>
        <v>118.12863714550498</v>
      </c>
      <c r="L93" s="80"/>
      <c r="M93" s="85">
        <f t="shared" si="3"/>
        <v>126.68921712907293</v>
      </c>
      <c r="N93" s="80"/>
      <c r="P93" s="80"/>
      <c r="R93" s="80"/>
      <c r="T93" s="80"/>
      <c r="V93" s="80"/>
      <c r="X93" s="80"/>
      <c r="Z93" s="80"/>
      <c r="AB93" s="80"/>
      <c r="AD93" s="80"/>
      <c r="AF93" s="80"/>
      <c r="BI93"/>
    </row>
    <row r="94" spans="1:61" s="81" customFormat="1" ht="12.75">
      <c r="A94" s="84"/>
      <c r="B94" s="81" t="s">
        <v>83</v>
      </c>
      <c r="C94" s="81" t="s">
        <v>270</v>
      </c>
      <c r="D94" s="81" t="s">
        <v>54</v>
      </c>
      <c r="E94" s="81" t="s">
        <v>14</v>
      </c>
      <c r="F94" s="80" t="s">
        <v>28</v>
      </c>
      <c r="G94" s="81">
        <v>0.07844568961412084</v>
      </c>
      <c r="H94" s="80" t="s">
        <v>28</v>
      </c>
      <c r="I94" s="81">
        <v>0.0744837980406933</v>
      </c>
      <c r="J94" s="80" t="s">
        <v>28</v>
      </c>
      <c r="K94" s="81">
        <v>0.076234066088193</v>
      </c>
      <c r="L94" s="80">
        <v>100</v>
      </c>
      <c r="M94" s="85">
        <f t="shared" si="3"/>
        <v>0.07638785124766904</v>
      </c>
      <c r="N94" s="80" t="s">
        <v>191</v>
      </c>
      <c r="P94" s="80" t="s">
        <v>191</v>
      </c>
      <c r="R94" s="80" t="s">
        <v>191</v>
      </c>
      <c r="T94" s="80" t="s">
        <v>191</v>
      </c>
      <c r="V94" s="80" t="s">
        <v>191</v>
      </c>
      <c r="X94" s="80" t="s">
        <v>191</v>
      </c>
      <c r="Z94" s="80" t="s">
        <v>191</v>
      </c>
      <c r="AB94" s="80" t="s">
        <v>191</v>
      </c>
      <c r="AD94" s="80" t="s">
        <v>191</v>
      </c>
      <c r="AF94" s="80" t="s">
        <v>191</v>
      </c>
      <c r="BI94"/>
    </row>
    <row r="95" spans="1:61" s="81" customFormat="1" ht="12.75">
      <c r="A95" s="84"/>
      <c r="B95" s="81" t="s">
        <v>84</v>
      </c>
      <c r="C95" s="81" t="s">
        <v>270</v>
      </c>
      <c r="D95" s="81" t="s">
        <v>54</v>
      </c>
      <c r="E95" s="81" t="s">
        <v>14</v>
      </c>
      <c r="F95" s="80" t="s">
        <v>191</v>
      </c>
      <c r="G95" s="81">
        <v>2.5343992029177507</v>
      </c>
      <c r="H95" s="80" t="s">
        <v>191</v>
      </c>
      <c r="I95" s="81">
        <v>2.5782853167932287</v>
      </c>
      <c r="J95" s="80" t="s">
        <v>191</v>
      </c>
      <c r="K95" s="81">
        <v>2.580229929138842</v>
      </c>
      <c r="L95" s="80" t="s">
        <v>191</v>
      </c>
      <c r="M95" s="85">
        <f t="shared" si="3"/>
        <v>2.564304816283274</v>
      </c>
      <c r="N95" s="80" t="s">
        <v>191</v>
      </c>
      <c r="P95" s="80" t="s">
        <v>191</v>
      </c>
      <c r="R95" s="80" t="s">
        <v>191</v>
      </c>
      <c r="T95" s="80" t="s">
        <v>191</v>
      </c>
      <c r="V95" s="80" t="s">
        <v>191</v>
      </c>
      <c r="X95" s="80" t="s">
        <v>191</v>
      </c>
      <c r="Z95" s="80" t="s">
        <v>191</v>
      </c>
      <c r="AB95" s="80" t="s">
        <v>191</v>
      </c>
      <c r="AD95" s="80" t="s">
        <v>191</v>
      </c>
      <c r="AF95" s="80" t="s">
        <v>191</v>
      </c>
      <c r="BI95"/>
    </row>
    <row r="96" spans="1:61" s="81" customFormat="1" ht="12.75">
      <c r="A96" s="84"/>
      <c r="B96" s="81" t="s">
        <v>113</v>
      </c>
      <c r="C96" s="81" t="s">
        <v>270</v>
      </c>
      <c r="D96" s="81" t="s">
        <v>54</v>
      </c>
      <c r="E96" s="81" t="s">
        <v>14</v>
      </c>
      <c r="F96" s="80" t="s">
        <v>191</v>
      </c>
      <c r="G96" s="81">
        <v>1.9913136594353753</v>
      </c>
      <c r="H96" s="80" t="s">
        <v>191</v>
      </c>
      <c r="I96" s="81">
        <v>2.0053330241725114</v>
      </c>
      <c r="J96" s="80" t="s">
        <v>191</v>
      </c>
      <c r="K96" s="81">
        <v>2.521588339840232</v>
      </c>
      <c r="L96" s="80" t="s">
        <v>191</v>
      </c>
      <c r="M96" s="85">
        <f t="shared" si="3"/>
        <v>2.1727450078160397</v>
      </c>
      <c r="N96" s="80" t="s">
        <v>191</v>
      </c>
      <c r="P96" s="80" t="s">
        <v>191</v>
      </c>
      <c r="R96" s="80" t="s">
        <v>191</v>
      </c>
      <c r="T96" s="80" t="s">
        <v>191</v>
      </c>
      <c r="V96" s="80" t="s">
        <v>191</v>
      </c>
      <c r="X96" s="80" t="s">
        <v>191</v>
      </c>
      <c r="Z96" s="80" t="s">
        <v>191</v>
      </c>
      <c r="AB96" s="80" t="s">
        <v>191</v>
      </c>
      <c r="AD96" s="80" t="s">
        <v>191</v>
      </c>
      <c r="AF96" s="80" t="s">
        <v>191</v>
      </c>
      <c r="BI96"/>
    </row>
    <row r="97" spans="1:61" s="81" customFormat="1" ht="12.75">
      <c r="A97" s="84"/>
      <c r="B97" s="81" t="s">
        <v>79</v>
      </c>
      <c r="C97" s="81" t="s">
        <v>270</v>
      </c>
      <c r="D97" s="81" t="s">
        <v>54</v>
      </c>
      <c r="E97" s="81" t="s">
        <v>14</v>
      </c>
      <c r="F97" s="80" t="s">
        <v>191</v>
      </c>
      <c r="G97" s="81">
        <v>63.35998007294376</v>
      </c>
      <c r="H97" s="80" t="s">
        <v>191</v>
      </c>
      <c r="I97" s="81">
        <v>68.7542751144861</v>
      </c>
      <c r="J97" s="80" t="s">
        <v>191</v>
      </c>
      <c r="K97" s="81">
        <v>66.85141180041545</v>
      </c>
      <c r="L97" s="80" t="s">
        <v>191</v>
      </c>
      <c r="M97" s="85">
        <f t="shared" si="3"/>
        <v>66.32188899594844</v>
      </c>
      <c r="N97" s="80" t="s">
        <v>191</v>
      </c>
      <c r="P97" s="80" t="s">
        <v>191</v>
      </c>
      <c r="R97" s="80" t="s">
        <v>191</v>
      </c>
      <c r="T97" s="80" t="s">
        <v>191</v>
      </c>
      <c r="V97" s="80" t="s">
        <v>191</v>
      </c>
      <c r="X97" s="80" t="s">
        <v>191</v>
      </c>
      <c r="Z97" s="80" t="s">
        <v>191</v>
      </c>
      <c r="AB97" s="80" t="s">
        <v>191</v>
      </c>
      <c r="AD97" s="80" t="s">
        <v>191</v>
      </c>
      <c r="AF97" s="80" t="s">
        <v>191</v>
      </c>
      <c r="BI97"/>
    </row>
    <row r="98" spans="1:61" s="81" customFormat="1" ht="12.75">
      <c r="A98" s="84"/>
      <c r="B98" s="81" t="s">
        <v>55</v>
      </c>
      <c r="C98" s="81" t="s">
        <v>270</v>
      </c>
      <c r="D98" s="81" t="s">
        <v>54</v>
      </c>
      <c r="E98" s="81" t="s">
        <v>14</v>
      </c>
      <c r="F98" s="80"/>
      <c r="G98" s="81">
        <f>G97+G95</f>
        <v>65.89437927586151</v>
      </c>
      <c r="H98" s="80"/>
      <c r="I98" s="81">
        <f>I97+I95</f>
        <v>71.33256043127933</v>
      </c>
      <c r="J98" s="80"/>
      <c r="K98" s="81">
        <f>K97+K95</f>
        <v>69.43164172955429</v>
      </c>
      <c r="L98" s="80"/>
      <c r="M98" s="81">
        <f t="shared" si="3"/>
        <v>68.88619381223172</v>
      </c>
      <c r="N98" s="80"/>
      <c r="P98" s="80"/>
      <c r="R98" s="80"/>
      <c r="T98" s="80"/>
      <c r="V98" s="80"/>
      <c r="X98" s="80"/>
      <c r="Z98" s="80"/>
      <c r="AB98" s="80"/>
      <c r="AD98" s="80"/>
      <c r="AF98" s="80"/>
      <c r="BI98"/>
    </row>
    <row r="99" spans="1:61" s="81" customFormat="1" ht="12.75">
      <c r="A99" s="84"/>
      <c r="B99" s="81" t="s">
        <v>56</v>
      </c>
      <c r="C99" s="81" t="s">
        <v>270</v>
      </c>
      <c r="D99" s="81" t="s">
        <v>54</v>
      </c>
      <c r="E99" s="81" t="s">
        <v>14</v>
      </c>
      <c r="F99" s="80">
        <f>G94/G99*100</f>
        <v>3.790087463556851</v>
      </c>
      <c r="G99" s="81">
        <f>G94+G96</f>
        <v>2.0697593490494963</v>
      </c>
      <c r="H99" s="80">
        <f>I94/I99*100</f>
        <v>3.5812672176308546</v>
      </c>
      <c r="I99" s="81">
        <f>I94+I96</f>
        <v>2.0798168222132047</v>
      </c>
      <c r="J99" s="80">
        <f>K94/K99*100</f>
        <v>2.934537246049659</v>
      </c>
      <c r="K99" s="81">
        <f>K94+K96</f>
        <v>2.597822405928425</v>
      </c>
      <c r="L99" s="80">
        <f>(F99*G99+H99*I99+J99*K99)/(3*M99)</f>
        <v>3.3963245408040743</v>
      </c>
      <c r="M99" s="81">
        <f t="shared" si="3"/>
        <v>2.2491328590637085</v>
      </c>
      <c r="N99" s="80"/>
      <c r="P99" s="80"/>
      <c r="R99" s="80"/>
      <c r="T99" s="80"/>
      <c r="V99" s="80"/>
      <c r="X99" s="80"/>
      <c r="Z99" s="80"/>
      <c r="AB99" s="80"/>
      <c r="AD99" s="80"/>
      <c r="AF99" s="80"/>
      <c r="BI99"/>
    </row>
    <row r="100" spans="1:61" s="81" customFormat="1" ht="12.75">
      <c r="A100" s="84"/>
      <c r="F100" s="80"/>
      <c r="H100" s="80"/>
      <c r="J100" s="80"/>
      <c r="L100" s="80"/>
      <c r="N100" s="80"/>
      <c r="P100" s="80"/>
      <c r="R100" s="80"/>
      <c r="T100" s="80"/>
      <c r="V100" s="80"/>
      <c r="X100" s="80"/>
      <c r="Z100" s="80"/>
      <c r="AB100" s="80"/>
      <c r="AD100" s="80"/>
      <c r="AF100" s="80"/>
      <c r="BI100"/>
    </row>
    <row r="101" spans="1:61" s="81" customFormat="1" ht="12.75">
      <c r="A101" s="84"/>
      <c r="B101" s="81" t="s">
        <v>96</v>
      </c>
      <c r="C101" s="82" t="s">
        <v>194</v>
      </c>
      <c r="D101" s="81" t="s">
        <v>270</v>
      </c>
      <c r="F101" s="80"/>
      <c r="H101" s="80"/>
      <c r="J101" s="80"/>
      <c r="L101" s="80"/>
      <c r="N101" s="80"/>
      <c r="P101" s="80"/>
      <c r="R101" s="80"/>
      <c r="T101" s="80"/>
      <c r="V101" s="80"/>
      <c r="X101" s="80"/>
      <c r="Z101" s="80"/>
      <c r="AB101" s="80"/>
      <c r="AD101" s="80"/>
      <c r="AF101" s="80"/>
      <c r="BI101"/>
    </row>
    <row r="102" spans="1:61" s="82" customFormat="1" ht="12.75">
      <c r="A102" s="84"/>
      <c r="B102" s="12" t="s">
        <v>78</v>
      </c>
      <c r="C102" s="12"/>
      <c r="D102" s="12" t="s">
        <v>16</v>
      </c>
      <c r="G102" s="80">
        <v>133756</v>
      </c>
      <c r="H102" s="80"/>
      <c r="I102" s="80">
        <v>129348</v>
      </c>
      <c r="J102" s="80"/>
      <c r="K102" s="80">
        <v>133296</v>
      </c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BI102"/>
    </row>
    <row r="103" spans="1:61" s="82" customFormat="1" ht="12.75">
      <c r="A103" s="84"/>
      <c r="B103" s="12" t="s">
        <v>93</v>
      </c>
      <c r="C103" s="12"/>
      <c r="D103" s="12" t="s">
        <v>17</v>
      </c>
      <c r="G103" s="80">
        <v>8</v>
      </c>
      <c r="H103" s="80"/>
      <c r="I103" s="80">
        <v>8</v>
      </c>
      <c r="J103" s="80"/>
      <c r="K103" s="80">
        <v>8.3</v>
      </c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BI103"/>
    </row>
    <row r="104" spans="1:61" s="82" customFormat="1" ht="12.75">
      <c r="A104" s="84"/>
      <c r="B104" s="12" t="s">
        <v>94</v>
      </c>
      <c r="C104" s="12"/>
      <c r="D104" s="12" t="s">
        <v>17</v>
      </c>
      <c r="G104" s="80">
        <v>28.43</v>
      </c>
      <c r="H104" s="80"/>
      <c r="I104" s="80">
        <v>34.19</v>
      </c>
      <c r="J104" s="80"/>
      <c r="K104" s="80">
        <v>31.26</v>
      </c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BI104"/>
    </row>
    <row r="105" spans="1:61" s="82" customFormat="1" ht="12.75">
      <c r="A105" s="84"/>
      <c r="B105" s="12" t="s">
        <v>77</v>
      </c>
      <c r="C105" s="12"/>
      <c r="D105" s="12" t="s">
        <v>18</v>
      </c>
      <c r="G105" s="80">
        <v>457.7</v>
      </c>
      <c r="H105" s="80"/>
      <c r="I105" s="80">
        <v>466.8</v>
      </c>
      <c r="J105" s="80"/>
      <c r="K105" s="80">
        <v>460.4</v>
      </c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BI105"/>
    </row>
    <row r="106" spans="1:61" s="82" customFormat="1" ht="12.75">
      <c r="A106" s="84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BI106"/>
    </row>
    <row r="107" spans="1:61" s="82" customFormat="1" ht="12.75">
      <c r="A107" s="84"/>
      <c r="B107" s="82" t="s">
        <v>245</v>
      </c>
      <c r="C107" s="82" t="s">
        <v>270</v>
      </c>
      <c r="D107" s="82" t="s">
        <v>17</v>
      </c>
      <c r="G107" s="80">
        <v>99.99989</v>
      </c>
      <c r="H107" s="80"/>
      <c r="I107" s="80">
        <v>99.9999</v>
      </c>
      <c r="J107" s="80"/>
      <c r="K107" s="80">
        <v>99.99994</v>
      </c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I107"/>
    </row>
    <row r="108" spans="1:61" s="81" customFormat="1" ht="12.75">
      <c r="A108" s="84"/>
      <c r="F108" s="80"/>
      <c r="H108" s="80"/>
      <c r="J108" s="80"/>
      <c r="L108" s="80"/>
      <c r="N108" s="80"/>
      <c r="P108" s="80"/>
      <c r="R108" s="80"/>
      <c r="T108" s="80"/>
      <c r="V108" s="80"/>
      <c r="X108" s="80"/>
      <c r="Z108" s="80"/>
      <c r="AB108" s="80"/>
      <c r="AD108" s="80"/>
      <c r="AF108" s="80"/>
      <c r="BI108"/>
    </row>
    <row r="109" spans="1:61" s="81" customFormat="1" ht="12.75">
      <c r="A109" s="84">
        <v>5</v>
      </c>
      <c r="B109" s="83" t="s">
        <v>180</v>
      </c>
      <c r="F109" s="80"/>
      <c r="G109" s="66" t="s">
        <v>188</v>
      </c>
      <c r="H109" s="66"/>
      <c r="I109" s="66" t="s">
        <v>189</v>
      </c>
      <c r="J109" s="66"/>
      <c r="K109" s="66" t="s">
        <v>190</v>
      </c>
      <c r="L109" s="66"/>
      <c r="M109" s="66" t="s">
        <v>161</v>
      </c>
      <c r="N109" s="80"/>
      <c r="P109" s="80"/>
      <c r="R109" s="80"/>
      <c r="T109" s="80"/>
      <c r="V109" s="80"/>
      <c r="X109" s="80"/>
      <c r="Z109" s="80"/>
      <c r="AB109" s="80"/>
      <c r="AD109" s="80"/>
      <c r="AF109" s="80"/>
      <c r="BI109"/>
    </row>
    <row r="110" spans="1:61" s="81" customFormat="1" ht="12.75">
      <c r="A110" s="84"/>
      <c r="F110" s="80"/>
      <c r="H110" s="80"/>
      <c r="J110" s="80"/>
      <c r="L110" s="80"/>
      <c r="N110" s="80"/>
      <c r="P110" s="80"/>
      <c r="R110" s="80"/>
      <c r="T110" s="80"/>
      <c r="V110" s="80"/>
      <c r="X110" s="80"/>
      <c r="Z110" s="80"/>
      <c r="AB110" s="80"/>
      <c r="AD110" s="80"/>
      <c r="AF110" s="80"/>
      <c r="BI110"/>
    </row>
    <row r="111" spans="1:61" s="79" customFormat="1" ht="12.75">
      <c r="A111" s="84"/>
      <c r="B111" s="79" t="s">
        <v>12</v>
      </c>
      <c r="C111" s="79" t="s">
        <v>270</v>
      </c>
      <c r="D111" s="79" t="s">
        <v>13</v>
      </c>
      <c r="E111" s="79" t="s">
        <v>14</v>
      </c>
      <c r="F111" s="80" t="s">
        <v>191</v>
      </c>
      <c r="G111" s="79">
        <v>0.012700125984</v>
      </c>
      <c r="H111" s="80" t="s">
        <v>191</v>
      </c>
      <c r="I111" s="79">
        <v>0.006800067456</v>
      </c>
      <c r="J111" s="80" t="s">
        <v>191</v>
      </c>
      <c r="K111" s="79">
        <v>0.008200081344</v>
      </c>
      <c r="L111" s="80" t="s">
        <v>191</v>
      </c>
      <c r="M111" s="79">
        <f>AVERAGE(G111,I111,K111)</f>
        <v>0.009233424928</v>
      </c>
      <c r="N111" s="80" t="s">
        <v>191</v>
      </c>
      <c r="P111" s="80" t="s">
        <v>191</v>
      </c>
      <c r="R111" s="80" t="s">
        <v>191</v>
      </c>
      <c r="T111" s="80" t="s">
        <v>191</v>
      </c>
      <c r="V111" s="80" t="s">
        <v>191</v>
      </c>
      <c r="X111" s="80" t="s">
        <v>191</v>
      </c>
      <c r="Z111" s="80" t="s">
        <v>191</v>
      </c>
      <c r="AB111" s="80" t="s">
        <v>191</v>
      </c>
      <c r="AD111" s="80" t="s">
        <v>191</v>
      </c>
      <c r="AF111" s="80" t="s">
        <v>191</v>
      </c>
      <c r="BI111"/>
    </row>
    <row r="112" spans="1:61" s="81" customFormat="1" ht="12.75">
      <c r="A112" s="84"/>
      <c r="B112" s="81" t="s">
        <v>192</v>
      </c>
      <c r="C112" s="79" t="s">
        <v>270</v>
      </c>
      <c r="D112" s="81" t="s">
        <v>15</v>
      </c>
      <c r="E112" s="79" t="s">
        <v>14</v>
      </c>
      <c r="F112" s="80" t="s">
        <v>191</v>
      </c>
      <c r="G112" s="81">
        <v>242</v>
      </c>
      <c r="H112" s="80" t="s">
        <v>191</v>
      </c>
      <c r="I112" s="81">
        <v>238</v>
      </c>
      <c r="J112" s="80" t="s">
        <v>191</v>
      </c>
      <c r="K112" s="81">
        <v>230</v>
      </c>
      <c r="L112" s="80" t="s">
        <v>191</v>
      </c>
      <c r="M112" s="85">
        <f aca="true" t="shared" si="4" ref="M112:M130">AVERAGE(G112,I112,K112)</f>
        <v>236.66666666666666</v>
      </c>
      <c r="N112" s="80" t="s">
        <v>191</v>
      </c>
      <c r="P112" s="80" t="s">
        <v>191</v>
      </c>
      <c r="R112" s="80" t="s">
        <v>191</v>
      </c>
      <c r="T112" s="80" t="s">
        <v>191</v>
      </c>
      <c r="V112" s="80" t="s">
        <v>191</v>
      </c>
      <c r="X112" s="80" t="s">
        <v>191</v>
      </c>
      <c r="Z112" s="80" t="s">
        <v>191</v>
      </c>
      <c r="AB112" s="80" t="s">
        <v>191</v>
      </c>
      <c r="AD112" s="80" t="s">
        <v>191</v>
      </c>
      <c r="AF112" s="80" t="s">
        <v>191</v>
      </c>
      <c r="BI112"/>
    </row>
    <row r="113" spans="1:61" s="81" customFormat="1" ht="12.75">
      <c r="A113" s="84"/>
      <c r="B113" s="81" t="s">
        <v>129</v>
      </c>
      <c r="C113" s="79" t="s">
        <v>270</v>
      </c>
      <c r="D113" s="81" t="s">
        <v>15</v>
      </c>
      <c r="E113" s="79" t="s">
        <v>14</v>
      </c>
      <c r="F113" s="80" t="s">
        <v>191</v>
      </c>
      <c r="G113" s="81">
        <v>18.9</v>
      </c>
      <c r="H113" s="80" t="s">
        <v>191</v>
      </c>
      <c r="I113" s="81">
        <v>18.5</v>
      </c>
      <c r="J113" s="80" t="s">
        <v>191</v>
      </c>
      <c r="K113" s="81">
        <v>19.4</v>
      </c>
      <c r="L113" s="80" t="s">
        <v>191</v>
      </c>
      <c r="M113" s="85">
        <f t="shared" si="4"/>
        <v>18.933333333333334</v>
      </c>
      <c r="N113" s="80" t="s">
        <v>191</v>
      </c>
      <c r="P113" s="80" t="s">
        <v>191</v>
      </c>
      <c r="R113" s="80" t="s">
        <v>191</v>
      </c>
      <c r="T113" s="80" t="s">
        <v>191</v>
      </c>
      <c r="V113" s="80" t="s">
        <v>191</v>
      </c>
      <c r="X113" s="80" t="s">
        <v>191</v>
      </c>
      <c r="Z113" s="80" t="s">
        <v>191</v>
      </c>
      <c r="AB113" s="80" t="s">
        <v>191</v>
      </c>
      <c r="AD113" s="80" t="s">
        <v>191</v>
      </c>
      <c r="AF113" s="80" t="s">
        <v>191</v>
      </c>
      <c r="BI113"/>
    </row>
    <row r="114" spans="1:61" s="81" customFormat="1" ht="12.75">
      <c r="A114" s="84"/>
      <c r="B114" s="81" t="s">
        <v>112</v>
      </c>
      <c r="C114" s="79" t="s">
        <v>270</v>
      </c>
      <c r="D114" s="81" t="s">
        <v>15</v>
      </c>
      <c r="E114" s="79" t="s">
        <v>14</v>
      </c>
      <c r="F114" s="80" t="s">
        <v>191</v>
      </c>
      <c r="G114" s="81">
        <v>17.7</v>
      </c>
      <c r="H114" s="80" t="s">
        <v>191</v>
      </c>
      <c r="I114" s="81">
        <v>16.7</v>
      </c>
      <c r="J114" s="80" t="s">
        <v>191</v>
      </c>
      <c r="K114" s="81">
        <v>17.9</v>
      </c>
      <c r="L114" s="80" t="s">
        <v>191</v>
      </c>
      <c r="M114" s="85">
        <f t="shared" si="4"/>
        <v>17.433333333333334</v>
      </c>
      <c r="N114" s="80" t="s">
        <v>191</v>
      </c>
      <c r="P114" s="80" t="s">
        <v>191</v>
      </c>
      <c r="R114" s="80" t="s">
        <v>191</v>
      </c>
      <c r="T114" s="80" t="s">
        <v>191</v>
      </c>
      <c r="V114" s="80" t="s">
        <v>191</v>
      </c>
      <c r="X114" s="80" t="s">
        <v>191</v>
      </c>
      <c r="Z114" s="80" t="s">
        <v>191</v>
      </c>
      <c r="AB114" s="80" t="s">
        <v>191</v>
      </c>
      <c r="AD114" s="80" t="s">
        <v>191</v>
      </c>
      <c r="AF114" s="80" t="s">
        <v>191</v>
      </c>
      <c r="BI114"/>
    </row>
    <row r="115" spans="1:61" s="81" customFormat="1" ht="12.75">
      <c r="A115" s="84"/>
      <c r="B115" s="81" t="s">
        <v>49</v>
      </c>
      <c r="C115" s="79" t="s">
        <v>270</v>
      </c>
      <c r="D115" s="81" t="s">
        <v>15</v>
      </c>
      <c r="E115" s="79" t="s">
        <v>14</v>
      </c>
      <c r="F115" s="80" t="s">
        <v>191</v>
      </c>
      <c r="G115" s="81">
        <v>144.60461020302722</v>
      </c>
      <c r="H115" s="80" t="s">
        <v>191</v>
      </c>
      <c r="I115" s="81">
        <v>113.96131353803452</v>
      </c>
      <c r="J115" s="80" t="s">
        <v>191</v>
      </c>
      <c r="K115" s="81">
        <v>118.73881531465891</v>
      </c>
      <c r="L115" s="80" t="s">
        <v>191</v>
      </c>
      <c r="M115" s="85">
        <f t="shared" si="4"/>
        <v>125.76824635190688</v>
      </c>
      <c r="N115" s="80" t="s">
        <v>191</v>
      </c>
      <c r="P115" s="80" t="s">
        <v>191</v>
      </c>
      <c r="R115" s="80" t="s">
        <v>191</v>
      </c>
      <c r="T115" s="80" t="s">
        <v>191</v>
      </c>
      <c r="V115" s="80" t="s">
        <v>191</v>
      </c>
      <c r="X115" s="80" t="s">
        <v>191</v>
      </c>
      <c r="Z115" s="80" t="s">
        <v>191</v>
      </c>
      <c r="AB115" s="80" t="s">
        <v>191</v>
      </c>
      <c r="AD115" s="80" t="s">
        <v>191</v>
      </c>
      <c r="AF115" s="80" t="s">
        <v>191</v>
      </c>
      <c r="BI115"/>
    </row>
    <row r="116" spans="1:61" s="81" customFormat="1" ht="12.75">
      <c r="A116" s="84"/>
      <c r="B116" s="81" t="s">
        <v>50</v>
      </c>
      <c r="C116" s="79" t="s">
        <v>270</v>
      </c>
      <c r="D116" s="81" t="s">
        <v>15</v>
      </c>
      <c r="E116" s="79" t="s">
        <v>14</v>
      </c>
      <c r="F116" s="80" t="s">
        <v>28</v>
      </c>
      <c r="G116" s="81">
        <v>2.7033404497501436</v>
      </c>
      <c r="H116" s="80" t="s">
        <v>28</v>
      </c>
      <c r="I116" s="81">
        <v>2.6975774190168234</v>
      </c>
      <c r="J116" s="80" t="s">
        <v>28</v>
      </c>
      <c r="K116" s="81">
        <v>2.102182446570625</v>
      </c>
      <c r="L116" s="80">
        <v>100</v>
      </c>
      <c r="M116" s="85">
        <f t="shared" si="4"/>
        <v>2.501033438445864</v>
      </c>
      <c r="N116" s="80" t="s">
        <v>191</v>
      </c>
      <c r="P116" s="80" t="s">
        <v>191</v>
      </c>
      <c r="R116" s="80" t="s">
        <v>191</v>
      </c>
      <c r="T116" s="80" t="s">
        <v>191</v>
      </c>
      <c r="V116" s="80" t="s">
        <v>191</v>
      </c>
      <c r="X116" s="80" t="s">
        <v>191</v>
      </c>
      <c r="Z116" s="80" t="s">
        <v>191</v>
      </c>
      <c r="AB116" s="80" t="s">
        <v>191</v>
      </c>
      <c r="AD116" s="80" t="s">
        <v>191</v>
      </c>
      <c r="AF116" s="80" t="s">
        <v>191</v>
      </c>
      <c r="BI116"/>
    </row>
    <row r="117" spans="1:61" s="81" customFormat="1" ht="12.75">
      <c r="A117" s="84"/>
      <c r="B117" s="81" t="s">
        <v>95</v>
      </c>
      <c r="C117" s="79" t="s">
        <v>270</v>
      </c>
      <c r="D117" s="81" t="s">
        <v>15</v>
      </c>
      <c r="E117" s="79" t="s">
        <v>14</v>
      </c>
      <c r="F117" s="80">
        <f>2*G116/G117*100</f>
        <v>3.604182631696043</v>
      </c>
      <c r="G117" s="81">
        <f>G115+2*G116</f>
        <v>150.0112911025275</v>
      </c>
      <c r="H117" s="80">
        <f>2*I116/I117*100</f>
        <v>4.5202031456180505</v>
      </c>
      <c r="I117" s="81">
        <f>I115+2*I116</f>
        <v>119.35646837606816</v>
      </c>
      <c r="J117" s="80">
        <f>2*K116/K117*100</f>
        <v>3.419762597677218</v>
      </c>
      <c r="K117" s="81">
        <f>K115+2*K116</f>
        <v>122.94318020780015</v>
      </c>
      <c r="L117" s="80">
        <f>(F117*G117+H117*I117+J117*K117)/(3*M117)</f>
        <v>3.8250783020913954</v>
      </c>
      <c r="M117" s="85">
        <f t="shared" si="4"/>
        <v>130.77031322879859</v>
      </c>
      <c r="N117" s="80"/>
      <c r="P117" s="80"/>
      <c r="R117" s="80"/>
      <c r="T117" s="80"/>
      <c r="V117" s="80"/>
      <c r="X117" s="80"/>
      <c r="Z117" s="80"/>
      <c r="AB117" s="80"/>
      <c r="AD117" s="80"/>
      <c r="AF117" s="80"/>
      <c r="BI117"/>
    </row>
    <row r="118" spans="1:61" s="81" customFormat="1" ht="12.75">
      <c r="A118" s="84"/>
      <c r="B118" s="81" t="s">
        <v>80</v>
      </c>
      <c r="C118" s="81" t="s">
        <v>271</v>
      </c>
      <c r="D118" s="81" t="s">
        <v>54</v>
      </c>
      <c r="E118" s="79" t="s">
        <v>14</v>
      </c>
      <c r="F118" s="80" t="s">
        <v>28</v>
      </c>
      <c r="G118" s="81">
        <v>1.1478674912173734</v>
      </c>
      <c r="H118" s="80" t="s">
        <v>28</v>
      </c>
      <c r="I118" s="81">
        <v>1.226005658926565</v>
      </c>
      <c r="J118" s="80" t="s">
        <v>28</v>
      </c>
      <c r="K118" s="81">
        <v>1.197807977469</v>
      </c>
      <c r="L118" s="80">
        <v>100</v>
      </c>
      <c r="M118" s="85">
        <f t="shared" si="4"/>
        <v>1.1905603758709795</v>
      </c>
      <c r="N118" s="80" t="s">
        <v>191</v>
      </c>
      <c r="P118" s="80" t="s">
        <v>191</v>
      </c>
      <c r="R118" s="80" t="s">
        <v>191</v>
      </c>
      <c r="T118" s="80" t="s">
        <v>191</v>
      </c>
      <c r="V118" s="80" t="s">
        <v>191</v>
      </c>
      <c r="X118" s="80" t="s">
        <v>191</v>
      </c>
      <c r="Z118" s="80" t="s">
        <v>191</v>
      </c>
      <c r="AB118" s="80" t="s">
        <v>191</v>
      </c>
      <c r="AD118" s="80" t="s">
        <v>191</v>
      </c>
      <c r="AF118" s="80" t="s">
        <v>191</v>
      </c>
      <c r="BI118"/>
    </row>
    <row r="119" spans="1:61" s="81" customFormat="1" ht="12.75">
      <c r="A119" s="84"/>
      <c r="B119" s="81" t="s">
        <v>81</v>
      </c>
      <c r="C119" s="81" t="s">
        <v>271</v>
      </c>
      <c r="D119" s="81" t="s">
        <v>54</v>
      </c>
      <c r="E119" s="79" t="s">
        <v>14</v>
      </c>
      <c r="F119" s="80" t="s">
        <v>28</v>
      </c>
      <c r="G119" s="81">
        <v>2.869668728043434</v>
      </c>
      <c r="H119" s="80" t="s">
        <v>28</v>
      </c>
      <c r="I119" s="81">
        <v>3.065014147316413</v>
      </c>
      <c r="J119" s="80" t="s">
        <v>28</v>
      </c>
      <c r="K119" s="81">
        <v>2.994519943672486</v>
      </c>
      <c r="L119" s="80">
        <v>100</v>
      </c>
      <c r="M119" s="85">
        <f t="shared" si="4"/>
        <v>2.9764009396774447</v>
      </c>
      <c r="N119" s="80" t="s">
        <v>191</v>
      </c>
      <c r="P119" s="80" t="s">
        <v>191</v>
      </c>
      <c r="R119" s="80" t="s">
        <v>191</v>
      </c>
      <c r="T119" s="80" t="s">
        <v>191</v>
      </c>
      <c r="V119" s="80" t="s">
        <v>191</v>
      </c>
      <c r="X119" s="80" t="s">
        <v>191</v>
      </c>
      <c r="Z119" s="80" t="s">
        <v>191</v>
      </c>
      <c r="AB119" s="80" t="s">
        <v>191</v>
      </c>
      <c r="AD119" s="80" t="s">
        <v>191</v>
      </c>
      <c r="AF119" s="80" t="s">
        <v>191</v>
      </c>
      <c r="BI119"/>
    </row>
    <row r="120" spans="1:61" s="81" customFormat="1" ht="12.75">
      <c r="A120" s="84"/>
      <c r="B120" s="81" t="s">
        <v>82</v>
      </c>
      <c r="C120" s="81" t="s">
        <v>271</v>
      </c>
      <c r="D120" s="81" t="s">
        <v>54</v>
      </c>
      <c r="E120" s="79" t="s">
        <v>14</v>
      </c>
      <c r="F120" s="80" t="s">
        <v>28</v>
      </c>
      <c r="G120" s="81">
        <v>1.1478674912173734</v>
      </c>
      <c r="H120" s="80" t="s">
        <v>28</v>
      </c>
      <c r="I120" s="81">
        <v>1.226005658926565</v>
      </c>
      <c r="J120" s="80" t="s">
        <v>28</v>
      </c>
      <c r="K120" s="81">
        <v>1.197807977469</v>
      </c>
      <c r="L120" s="80">
        <v>100</v>
      </c>
      <c r="M120" s="85">
        <f t="shared" si="4"/>
        <v>1.1905603758709795</v>
      </c>
      <c r="N120" s="80" t="s">
        <v>191</v>
      </c>
      <c r="P120" s="80" t="s">
        <v>191</v>
      </c>
      <c r="R120" s="80" t="s">
        <v>191</v>
      </c>
      <c r="T120" s="80" t="s">
        <v>191</v>
      </c>
      <c r="V120" s="80" t="s">
        <v>191</v>
      </c>
      <c r="X120" s="80" t="s">
        <v>191</v>
      </c>
      <c r="Z120" s="80" t="s">
        <v>191</v>
      </c>
      <c r="AB120" s="80" t="s">
        <v>191</v>
      </c>
      <c r="AD120" s="80" t="s">
        <v>191</v>
      </c>
      <c r="AF120" s="80" t="s">
        <v>191</v>
      </c>
      <c r="BI120"/>
    </row>
    <row r="121" spans="1:61" s="81" customFormat="1" ht="12.75">
      <c r="A121" s="84"/>
      <c r="B121" s="81" t="s">
        <v>83</v>
      </c>
      <c r="C121" s="81" t="s">
        <v>271</v>
      </c>
      <c r="D121" s="81" t="s">
        <v>54</v>
      </c>
      <c r="E121" s="79" t="s">
        <v>14</v>
      </c>
      <c r="F121" s="80" t="s">
        <v>28</v>
      </c>
      <c r="G121" s="81">
        <v>0.028696687280434337</v>
      </c>
      <c r="H121" s="80" t="s">
        <v>28</v>
      </c>
      <c r="I121" s="81">
        <v>0.030650141473164128</v>
      </c>
      <c r="J121" s="80" t="s">
        <v>28</v>
      </c>
      <c r="K121" s="81">
        <v>0.029945199436724863</v>
      </c>
      <c r="L121" s="80">
        <v>100</v>
      </c>
      <c r="M121" s="85">
        <f t="shared" si="4"/>
        <v>0.029764009396774444</v>
      </c>
      <c r="N121" s="80" t="s">
        <v>191</v>
      </c>
      <c r="P121" s="80" t="s">
        <v>191</v>
      </c>
      <c r="R121" s="80" t="s">
        <v>191</v>
      </c>
      <c r="T121" s="80" t="s">
        <v>191</v>
      </c>
      <c r="V121" s="80" t="s">
        <v>191</v>
      </c>
      <c r="X121" s="80" t="s">
        <v>191</v>
      </c>
      <c r="Z121" s="80" t="s">
        <v>191</v>
      </c>
      <c r="AB121" s="80" t="s">
        <v>191</v>
      </c>
      <c r="AD121" s="80" t="s">
        <v>191</v>
      </c>
      <c r="AF121" s="80" t="s">
        <v>191</v>
      </c>
      <c r="BI121"/>
    </row>
    <row r="122" spans="1:61" s="81" customFormat="1" ht="12.75">
      <c r="A122" s="84"/>
      <c r="B122" s="81" t="s">
        <v>84</v>
      </c>
      <c r="C122" s="81" t="s">
        <v>271</v>
      </c>
      <c r="D122" s="81" t="s">
        <v>54</v>
      </c>
      <c r="E122" s="79" t="s">
        <v>14</v>
      </c>
      <c r="F122" s="80" t="s">
        <v>28</v>
      </c>
      <c r="G122" s="81">
        <v>0.028696687280434337</v>
      </c>
      <c r="H122" s="80" t="s">
        <v>191</v>
      </c>
      <c r="I122" s="81">
        <v>0.059461274457938404</v>
      </c>
      <c r="J122" s="80" t="s">
        <v>191</v>
      </c>
      <c r="K122" s="81">
        <v>0.09582463819751955</v>
      </c>
      <c r="L122" s="80" t="s">
        <v>191</v>
      </c>
      <c r="M122" s="85">
        <f t="shared" si="4"/>
        <v>0.06132753331196409</v>
      </c>
      <c r="N122" s="80" t="s">
        <v>191</v>
      </c>
      <c r="P122" s="80" t="s">
        <v>191</v>
      </c>
      <c r="R122" s="80" t="s">
        <v>191</v>
      </c>
      <c r="T122" s="80" t="s">
        <v>191</v>
      </c>
      <c r="V122" s="80" t="s">
        <v>191</v>
      </c>
      <c r="X122" s="80" t="s">
        <v>191</v>
      </c>
      <c r="Z122" s="80" t="s">
        <v>191</v>
      </c>
      <c r="AB122" s="80" t="s">
        <v>191</v>
      </c>
      <c r="AD122" s="80" t="s">
        <v>191</v>
      </c>
      <c r="AF122" s="80" t="s">
        <v>191</v>
      </c>
      <c r="BI122"/>
    </row>
    <row r="123" spans="1:61" s="81" customFormat="1" ht="12.75">
      <c r="A123" s="84"/>
      <c r="B123" s="81" t="s">
        <v>113</v>
      </c>
      <c r="C123" s="81" t="s">
        <v>271</v>
      </c>
      <c r="D123" s="81" t="s">
        <v>54</v>
      </c>
      <c r="E123" s="79" t="s">
        <v>14</v>
      </c>
      <c r="F123" s="80" t="s">
        <v>28</v>
      </c>
      <c r="G123" s="81">
        <v>0.2295734982434747</v>
      </c>
      <c r="H123" s="80" t="s">
        <v>28</v>
      </c>
      <c r="I123" s="81">
        <v>0.24520113178531303</v>
      </c>
      <c r="J123" s="80" t="s">
        <v>28</v>
      </c>
      <c r="K123" s="81">
        <v>0.2395615954937989</v>
      </c>
      <c r="L123" s="80">
        <v>100</v>
      </c>
      <c r="M123" s="85">
        <f t="shared" si="4"/>
        <v>0.23811207517419555</v>
      </c>
      <c r="N123" s="80" t="s">
        <v>191</v>
      </c>
      <c r="P123" s="80" t="s">
        <v>191</v>
      </c>
      <c r="R123" s="80" t="s">
        <v>191</v>
      </c>
      <c r="T123" s="80" t="s">
        <v>191</v>
      </c>
      <c r="V123" s="80" t="s">
        <v>191</v>
      </c>
      <c r="X123" s="80" t="s">
        <v>191</v>
      </c>
      <c r="Z123" s="80" t="s">
        <v>191</v>
      </c>
      <c r="AB123" s="80" t="s">
        <v>191</v>
      </c>
      <c r="AD123" s="80" t="s">
        <v>191</v>
      </c>
      <c r="AF123" s="80" t="s">
        <v>191</v>
      </c>
      <c r="BI123"/>
    </row>
    <row r="124" spans="1:61" s="81" customFormat="1" ht="12.75">
      <c r="A124" s="84"/>
      <c r="B124" s="81" t="s">
        <v>197</v>
      </c>
      <c r="C124" s="81" t="s">
        <v>272</v>
      </c>
      <c r="D124" s="81" t="s">
        <v>54</v>
      </c>
      <c r="E124" s="79" t="s">
        <v>14</v>
      </c>
      <c r="F124" s="80" t="s">
        <v>28</v>
      </c>
      <c r="G124" s="81">
        <v>0.49388103516479</v>
      </c>
      <c r="H124" s="80" t="s">
        <v>28</v>
      </c>
      <c r="I124" s="81">
        <v>0.6220596819883467</v>
      </c>
      <c r="J124" s="80" t="s">
        <v>28</v>
      </c>
      <c r="K124" s="81">
        <v>0.7987156131200452</v>
      </c>
      <c r="L124" s="80">
        <v>100</v>
      </c>
      <c r="M124" s="85">
        <f t="shared" si="4"/>
        <v>0.6382187767577273</v>
      </c>
      <c r="N124" s="80" t="s">
        <v>191</v>
      </c>
      <c r="P124" s="80" t="s">
        <v>191</v>
      </c>
      <c r="R124" s="80" t="s">
        <v>191</v>
      </c>
      <c r="T124" s="80" t="s">
        <v>191</v>
      </c>
      <c r="V124" s="80" t="s">
        <v>191</v>
      </c>
      <c r="X124" s="80" t="s">
        <v>191</v>
      </c>
      <c r="Z124" s="80" t="s">
        <v>191</v>
      </c>
      <c r="AB124" s="80" t="s">
        <v>191</v>
      </c>
      <c r="AD124" s="80" t="s">
        <v>191</v>
      </c>
      <c r="AF124" s="80" t="s">
        <v>191</v>
      </c>
      <c r="BI124"/>
    </row>
    <row r="125" spans="1:61" s="81" customFormat="1" ht="12.75">
      <c r="A125" s="84"/>
      <c r="B125" s="81" t="s">
        <v>79</v>
      </c>
      <c r="C125" s="81" t="s">
        <v>271</v>
      </c>
      <c r="D125" s="81" t="s">
        <v>54</v>
      </c>
      <c r="E125" s="79" t="s">
        <v>14</v>
      </c>
      <c r="F125" s="80" t="s">
        <v>28</v>
      </c>
      <c r="G125" s="81">
        <v>1.1478674912173734</v>
      </c>
      <c r="H125" s="80" t="s">
        <v>28</v>
      </c>
      <c r="I125" s="81">
        <v>1.226005658926565</v>
      </c>
      <c r="J125" s="80" t="s">
        <v>28</v>
      </c>
      <c r="K125" s="81">
        <v>1.197807977469</v>
      </c>
      <c r="L125" s="80">
        <v>100</v>
      </c>
      <c r="M125" s="85">
        <f t="shared" si="4"/>
        <v>1.1905603758709795</v>
      </c>
      <c r="N125" s="80" t="s">
        <v>191</v>
      </c>
      <c r="P125" s="80" t="s">
        <v>191</v>
      </c>
      <c r="R125" s="80" t="s">
        <v>191</v>
      </c>
      <c r="T125" s="80" t="s">
        <v>191</v>
      </c>
      <c r="V125" s="80" t="s">
        <v>191</v>
      </c>
      <c r="X125" s="80" t="s">
        <v>191</v>
      </c>
      <c r="Z125" s="80" t="s">
        <v>191</v>
      </c>
      <c r="AB125" s="80" t="s">
        <v>191</v>
      </c>
      <c r="AD125" s="80" t="s">
        <v>191</v>
      </c>
      <c r="AF125" s="80" t="s">
        <v>191</v>
      </c>
      <c r="BI125"/>
    </row>
    <row r="126" spans="1:61" s="81" customFormat="1" ht="12.75">
      <c r="A126" s="84"/>
      <c r="B126" s="81" t="s">
        <v>85</v>
      </c>
      <c r="C126" s="81" t="s">
        <v>271</v>
      </c>
      <c r="D126" s="81" t="s">
        <v>54</v>
      </c>
      <c r="E126" s="79" t="s">
        <v>14</v>
      </c>
      <c r="F126" s="80" t="s">
        <v>191</v>
      </c>
      <c r="G126" s="81">
        <v>16.28823970037453</v>
      </c>
      <c r="H126" s="80" t="s">
        <v>191</v>
      </c>
      <c r="I126" s="81">
        <v>7.460244434568149</v>
      </c>
      <c r="J126" s="80" t="s">
        <v>191</v>
      </c>
      <c r="K126" s="81">
        <v>5.088288288288288</v>
      </c>
      <c r="L126" s="80" t="s">
        <v>191</v>
      </c>
      <c r="M126" s="85">
        <f t="shared" si="4"/>
        <v>9.612257474410322</v>
      </c>
      <c r="N126" s="80" t="s">
        <v>191</v>
      </c>
      <c r="P126" s="80" t="s">
        <v>191</v>
      </c>
      <c r="R126" s="80" t="s">
        <v>191</v>
      </c>
      <c r="T126" s="80" t="s">
        <v>191</v>
      </c>
      <c r="V126" s="80" t="s">
        <v>191</v>
      </c>
      <c r="X126" s="80" t="s">
        <v>191</v>
      </c>
      <c r="Z126" s="80" t="s">
        <v>191</v>
      </c>
      <c r="AB126" s="80" t="s">
        <v>191</v>
      </c>
      <c r="AD126" s="80" t="s">
        <v>191</v>
      </c>
      <c r="AF126" s="80" t="s">
        <v>191</v>
      </c>
      <c r="BI126"/>
    </row>
    <row r="127" spans="1:61" s="81" customFormat="1" ht="12.75">
      <c r="A127" s="84"/>
      <c r="B127" s="81" t="s">
        <v>88</v>
      </c>
      <c r="C127" s="81" t="s">
        <v>271</v>
      </c>
      <c r="D127" s="81" t="s">
        <v>54</v>
      </c>
      <c r="E127" s="79" t="s">
        <v>14</v>
      </c>
      <c r="F127" s="80" t="s">
        <v>28</v>
      </c>
      <c r="G127" s="81">
        <v>1.1478674912173734</v>
      </c>
      <c r="H127" s="80" t="s">
        <v>28</v>
      </c>
      <c r="I127" s="81">
        <v>1.226005658926565</v>
      </c>
      <c r="J127" s="80" t="s">
        <v>28</v>
      </c>
      <c r="K127" s="81">
        <v>1.197807977469</v>
      </c>
      <c r="L127" s="80">
        <v>100</v>
      </c>
      <c r="M127" s="85">
        <f t="shared" si="4"/>
        <v>1.1905603758709795</v>
      </c>
      <c r="N127" s="80" t="s">
        <v>191</v>
      </c>
      <c r="P127" s="80" t="s">
        <v>191</v>
      </c>
      <c r="R127" s="80" t="s">
        <v>191</v>
      </c>
      <c r="T127" s="80" t="s">
        <v>191</v>
      </c>
      <c r="V127" s="80" t="s">
        <v>191</v>
      </c>
      <c r="X127" s="80" t="s">
        <v>191</v>
      </c>
      <c r="Z127" s="80" t="s">
        <v>191</v>
      </c>
      <c r="AB127" s="80" t="s">
        <v>191</v>
      </c>
      <c r="AD127" s="80" t="s">
        <v>191</v>
      </c>
      <c r="AF127" s="80" t="s">
        <v>191</v>
      </c>
      <c r="BI127"/>
    </row>
    <row r="128" spans="1:61" s="81" customFormat="1" ht="12.75">
      <c r="A128" s="84"/>
      <c r="B128" s="81" t="s">
        <v>89</v>
      </c>
      <c r="C128" s="81" t="s">
        <v>271</v>
      </c>
      <c r="D128" s="81" t="s">
        <v>54</v>
      </c>
      <c r="E128" s="79" t="s">
        <v>14</v>
      </c>
      <c r="F128" s="80" t="s">
        <v>28</v>
      </c>
      <c r="G128" s="81">
        <v>1.1478674912173734</v>
      </c>
      <c r="H128" s="80" t="s">
        <v>28</v>
      </c>
      <c r="I128" s="81">
        <v>1.226005658926565</v>
      </c>
      <c r="J128" s="80" t="s">
        <v>28</v>
      </c>
      <c r="K128" s="81">
        <v>1.197807977469</v>
      </c>
      <c r="L128" s="80">
        <v>100</v>
      </c>
      <c r="M128" s="85">
        <f t="shared" si="4"/>
        <v>1.1905603758709795</v>
      </c>
      <c r="N128" s="80" t="s">
        <v>191</v>
      </c>
      <c r="P128" s="80" t="s">
        <v>191</v>
      </c>
      <c r="R128" s="80" t="s">
        <v>191</v>
      </c>
      <c r="T128" s="80" t="s">
        <v>191</v>
      </c>
      <c r="V128" s="80" t="s">
        <v>191</v>
      </c>
      <c r="X128" s="80" t="s">
        <v>191</v>
      </c>
      <c r="Z128" s="80" t="s">
        <v>191</v>
      </c>
      <c r="AB128" s="80" t="s">
        <v>191</v>
      </c>
      <c r="AD128" s="80" t="s">
        <v>191</v>
      </c>
      <c r="AF128" s="80" t="s">
        <v>191</v>
      </c>
      <c r="BI128"/>
    </row>
    <row r="129" spans="1:61" s="81" customFormat="1" ht="12.75">
      <c r="A129" s="84"/>
      <c r="B129" s="81" t="s">
        <v>55</v>
      </c>
      <c r="C129" s="81" t="s">
        <v>271</v>
      </c>
      <c r="D129" s="81" t="s">
        <v>54</v>
      </c>
      <c r="E129" s="79" t="s">
        <v>14</v>
      </c>
      <c r="F129" s="80"/>
      <c r="G129" s="81">
        <f>G122+G125</f>
        <v>1.1765641784978078</v>
      </c>
      <c r="H129" s="80">
        <f>I125/I129*100</f>
        <v>95.37434430138293</v>
      </c>
      <c r="I129" s="81">
        <f>I122+I125</f>
        <v>1.2854669333845035</v>
      </c>
      <c r="J129" s="80">
        <f>K125/K129*100</f>
        <v>92.59259259259261</v>
      </c>
      <c r="K129" s="81">
        <f>K122+K125</f>
        <v>1.2936326156665197</v>
      </c>
      <c r="L129" s="80">
        <f>(F129*G129+H129*I129+J129*K129)/(3*M129)</f>
        <v>64.53755746597393</v>
      </c>
      <c r="M129" s="85">
        <f t="shared" si="4"/>
        <v>1.2518879091829436</v>
      </c>
      <c r="N129" s="80"/>
      <c r="P129" s="80"/>
      <c r="R129" s="80"/>
      <c r="T129" s="80"/>
      <c r="V129" s="80"/>
      <c r="X129" s="80"/>
      <c r="Z129" s="80"/>
      <c r="AB129" s="80"/>
      <c r="AD129" s="80"/>
      <c r="AF129" s="80"/>
      <c r="BI129"/>
    </row>
    <row r="130" spans="1:61" s="81" customFormat="1" ht="12.75">
      <c r="A130" s="84"/>
      <c r="B130" s="81" t="s">
        <v>56</v>
      </c>
      <c r="C130" s="81" t="s">
        <v>271</v>
      </c>
      <c r="D130" s="81" t="s">
        <v>54</v>
      </c>
      <c r="E130" s="79" t="s">
        <v>14</v>
      </c>
      <c r="F130" s="80"/>
      <c r="G130" s="81">
        <f>G119+G121+G123</f>
        <v>3.127938913567343</v>
      </c>
      <c r="H130" s="80"/>
      <c r="I130" s="81">
        <f>I119+I121+I123</f>
        <v>3.34086542057489</v>
      </c>
      <c r="J130" s="80"/>
      <c r="K130" s="81">
        <f>K119+K121+K123</f>
        <v>3.2640267386030097</v>
      </c>
      <c r="L130" s="80">
        <f>(F130*G130+H130*I130+J130*K130)/(3*M130)</f>
        <v>0</v>
      </c>
      <c r="M130" s="85">
        <f t="shared" si="4"/>
        <v>3.244277024248414</v>
      </c>
      <c r="N130" s="80"/>
      <c r="P130" s="80"/>
      <c r="R130" s="80"/>
      <c r="T130" s="80"/>
      <c r="V130" s="80"/>
      <c r="X130" s="80"/>
      <c r="Z130" s="80"/>
      <c r="AB130" s="80"/>
      <c r="AD130" s="80"/>
      <c r="AF130" s="80"/>
      <c r="BI130"/>
    </row>
    <row r="131" spans="1:61" s="81" customFormat="1" ht="12.75">
      <c r="A131" s="84"/>
      <c r="E131" s="79"/>
      <c r="F131" s="80"/>
      <c r="H131" s="80"/>
      <c r="J131" s="80"/>
      <c r="L131" s="80"/>
      <c r="N131" s="80"/>
      <c r="P131" s="80"/>
      <c r="R131" s="80"/>
      <c r="T131" s="80"/>
      <c r="V131" s="80"/>
      <c r="X131" s="80"/>
      <c r="Z131" s="80"/>
      <c r="AB131" s="80"/>
      <c r="AD131" s="80"/>
      <c r="AF131" s="80"/>
      <c r="BI131"/>
    </row>
    <row r="132" spans="1:61" s="82" customFormat="1" ht="12.75">
      <c r="A132" s="84"/>
      <c r="B132" s="81" t="s">
        <v>96</v>
      </c>
      <c r="C132" s="82" t="s">
        <v>194</v>
      </c>
      <c r="D132" s="81" t="s">
        <v>270</v>
      </c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BI132"/>
    </row>
    <row r="133" spans="1:61" s="82" customFormat="1" ht="12.75">
      <c r="A133" s="84"/>
      <c r="B133" s="12" t="s">
        <v>78</v>
      </c>
      <c r="C133" s="12"/>
      <c r="D133" s="12" t="s">
        <v>16</v>
      </c>
      <c r="G133" s="80">
        <v>119452</v>
      </c>
      <c r="H133" s="80"/>
      <c r="I133" s="80">
        <v>114846</v>
      </c>
      <c r="J133" s="80"/>
      <c r="K133" s="80">
        <v>120503</v>
      </c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BI133"/>
    </row>
    <row r="134" spans="1:61" s="82" customFormat="1" ht="12.75">
      <c r="A134" s="84"/>
      <c r="B134" s="12" t="s">
        <v>93</v>
      </c>
      <c r="C134" s="12"/>
      <c r="D134" s="12" t="s">
        <v>17</v>
      </c>
      <c r="G134" s="80">
        <v>7.96</v>
      </c>
      <c r="H134" s="80"/>
      <c r="I134" s="80">
        <v>8.02</v>
      </c>
      <c r="J134" s="80"/>
      <c r="K134" s="80">
        <v>8.22</v>
      </c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BI134"/>
    </row>
    <row r="135" spans="1:61" s="82" customFormat="1" ht="12.75">
      <c r="A135" s="84"/>
      <c r="B135" s="12" t="s">
        <v>94</v>
      </c>
      <c r="C135" s="12"/>
      <c r="D135" s="12" t="s">
        <v>17</v>
      </c>
      <c r="G135" s="80">
        <v>28.5</v>
      </c>
      <c r="H135" s="80"/>
      <c r="I135" s="80">
        <v>27.1</v>
      </c>
      <c r="J135" s="80"/>
      <c r="K135" s="80">
        <v>29.6</v>
      </c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BI135"/>
    </row>
    <row r="136" spans="1:61" s="82" customFormat="1" ht="12.75">
      <c r="A136" s="84"/>
      <c r="B136" s="12" t="s">
        <v>77</v>
      </c>
      <c r="C136" s="12"/>
      <c r="D136" s="12" t="s">
        <v>18</v>
      </c>
      <c r="G136" s="80">
        <v>383.42</v>
      </c>
      <c r="H136" s="80"/>
      <c r="I136" s="80">
        <v>392.5</v>
      </c>
      <c r="J136" s="80"/>
      <c r="K136" s="80">
        <v>384.92</v>
      </c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BI136"/>
    </row>
    <row r="137" spans="1:61" s="82" customFormat="1" ht="12.75">
      <c r="A137" s="84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BI137"/>
    </row>
    <row r="138" spans="1:61" s="82" customFormat="1" ht="12.75">
      <c r="A138" s="84"/>
      <c r="B138" s="81" t="s">
        <v>96</v>
      </c>
      <c r="C138" s="82" t="s">
        <v>109</v>
      </c>
      <c r="D138" s="12" t="s">
        <v>271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BI138"/>
    </row>
    <row r="139" spans="1:61" s="82" customFormat="1" ht="12.75">
      <c r="A139" s="84"/>
      <c r="B139" s="12" t="s">
        <v>78</v>
      </c>
      <c r="C139" s="12"/>
      <c r="D139" s="12" t="s">
        <v>16</v>
      </c>
      <c r="G139" s="80">
        <v>122281</v>
      </c>
      <c r="H139" s="80"/>
      <c r="I139" s="80">
        <v>112928</v>
      </c>
      <c r="J139" s="80"/>
      <c r="K139" s="80">
        <v>113123</v>
      </c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BI139"/>
    </row>
    <row r="140" spans="1:61" s="82" customFormat="1" ht="12.75">
      <c r="A140" s="84"/>
      <c r="B140" s="12" t="s">
        <v>93</v>
      </c>
      <c r="C140" s="12"/>
      <c r="D140" s="12" t="s">
        <v>17</v>
      </c>
      <c r="G140" s="80">
        <v>8.1</v>
      </c>
      <c r="H140" s="80"/>
      <c r="I140" s="80">
        <v>8.29</v>
      </c>
      <c r="J140" s="80"/>
      <c r="K140" s="80">
        <v>8.05</v>
      </c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BI140"/>
    </row>
    <row r="141" spans="1:61" s="82" customFormat="1" ht="12.75">
      <c r="A141" s="84"/>
      <c r="B141" s="12" t="s">
        <v>94</v>
      </c>
      <c r="C141" s="12"/>
      <c r="D141" s="12" t="s">
        <v>17</v>
      </c>
      <c r="G141" s="80">
        <v>29.8</v>
      </c>
      <c r="H141" s="80"/>
      <c r="I141" s="80">
        <v>30.8</v>
      </c>
      <c r="J141" s="80"/>
      <c r="K141" s="80">
        <v>31.3</v>
      </c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BI141"/>
    </row>
    <row r="142" spans="1:61" s="82" customFormat="1" ht="12.75">
      <c r="A142" s="84"/>
      <c r="B142" s="12" t="s">
        <v>77</v>
      </c>
      <c r="C142" s="12"/>
      <c r="D142" s="12" t="s">
        <v>18</v>
      </c>
      <c r="G142" s="80">
        <v>389.17</v>
      </c>
      <c r="H142" s="80"/>
      <c r="I142" s="80">
        <v>381</v>
      </c>
      <c r="J142" s="80"/>
      <c r="K142" s="80">
        <v>384.08</v>
      </c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BI142"/>
    </row>
    <row r="143" spans="1:61" s="81" customFormat="1" ht="12.75">
      <c r="A143" s="84"/>
      <c r="F143" s="80"/>
      <c r="H143" s="80"/>
      <c r="J143" s="80"/>
      <c r="L143" s="80"/>
      <c r="N143" s="80"/>
      <c r="P143" s="80"/>
      <c r="R143" s="80"/>
      <c r="T143" s="80"/>
      <c r="V143" s="80"/>
      <c r="X143" s="80"/>
      <c r="Z143" s="80"/>
      <c r="AB143" s="80"/>
      <c r="AD143" s="80"/>
      <c r="AF143" s="80"/>
      <c r="BI143"/>
    </row>
    <row r="144" spans="1:61" s="81" customFormat="1" ht="12.75">
      <c r="A144" s="84"/>
      <c r="B144" s="81" t="s">
        <v>96</v>
      </c>
      <c r="C144" s="81" t="s">
        <v>273</v>
      </c>
      <c r="D144" s="81" t="s">
        <v>272</v>
      </c>
      <c r="F144" s="80"/>
      <c r="H144" s="80"/>
      <c r="J144" s="80"/>
      <c r="L144" s="80"/>
      <c r="N144" s="80"/>
      <c r="P144" s="80"/>
      <c r="R144" s="80"/>
      <c r="T144" s="80"/>
      <c r="V144" s="80"/>
      <c r="X144" s="80"/>
      <c r="Z144" s="80"/>
      <c r="AB144" s="80"/>
      <c r="AD144" s="80"/>
      <c r="AF144" s="80"/>
      <c r="BI144"/>
    </row>
    <row r="145" spans="1:61" s="82" customFormat="1" ht="12.75">
      <c r="A145" s="84"/>
      <c r="B145" s="12" t="s">
        <v>78</v>
      </c>
      <c r="C145" s="12"/>
      <c r="D145" s="12" t="s">
        <v>16</v>
      </c>
      <c r="G145" s="80">
        <v>128795</v>
      </c>
      <c r="H145" s="80"/>
      <c r="I145" s="80">
        <v>111654</v>
      </c>
      <c r="J145" s="80"/>
      <c r="K145" s="80">
        <v>112678</v>
      </c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BI145"/>
    </row>
    <row r="146" spans="1:61" s="82" customFormat="1" ht="12.75">
      <c r="A146" s="84"/>
      <c r="B146" s="12" t="s">
        <v>93</v>
      </c>
      <c r="C146" s="12"/>
      <c r="D146" s="12" t="s">
        <v>17</v>
      </c>
      <c r="G146" s="80">
        <v>8.1</v>
      </c>
      <c r="H146" s="80"/>
      <c r="I146" s="80">
        <v>8.29</v>
      </c>
      <c r="J146" s="80"/>
      <c r="K146" s="80">
        <v>8.05</v>
      </c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BI146"/>
    </row>
    <row r="147" spans="1:61" s="82" customFormat="1" ht="12.75">
      <c r="A147" s="84"/>
      <c r="B147" s="12" t="s">
        <v>94</v>
      </c>
      <c r="C147" s="12"/>
      <c r="D147" s="12" t="s">
        <v>17</v>
      </c>
      <c r="G147" s="80">
        <v>32.9</v>
      </c>
      <c r="H147" s="80"/>
      <c r="I147" s="80">
        <v>33</v>
      </c>
      <c r="J147" s="80"/>
      <c r="K147" s="80">
        <v>32.9</v>
      </c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BI147"/>
    </row>
    <row r="148" spans="1:61" s="82" customFormat="1" ht="12.75">
      <c r="A148" s="84"/>
      <c r="B148" s="12" t="s">
        <v>77</v>
      </c>
      <c r="C148" s="12"/>
      <c r="D148" s="12" t="s">
        <v>18</v>
      </c>
      <c r="G148" s="80">
        <v>370.17</v>
      </c>
      <c r="H148" s="80"/>
      <c r="I148" s="80">
        <v>385.58</v>
      </c>
      <c r="J148" s="80"/>
      <c r="K148" s="80">
        <v>400.67</v>
      </c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BI148"/>
    </row>
    <row r="149" spans="1:61" s="82" customFormat="1" ht="12.75">
      <c r="A149" s="84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BI149"/>
    </row>
    <row r="150" spans="1:61" s="82" customFormat="1" ht="12.75">
      <c r="A150" s="84"/>
      <c r="B150" s="81" t="s">
        <v>96</v>
      </c>
      <c r="C150" s="82" t="s">
        <v>193</v>
      </c>
      <c r="D150" s="12" t="s">
        <v>274</v>
      </c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BI150"/>
    </row>
    <row r="151" spans="1:61" s="82" customFormat="1" ht="12.75">
      <c r="A151" s="84"/>
      <c r="B151" s="12" t="s">
        <v>78</v>
      </c>
      <c r="C151" s="12"/>
      <c r="D151" s="12" t="s">
        <v>16</v>
      </c>
      <c r="G151" s="80">
        <v>126816</v>
      </c>
      <c r="H151" s="80"/>
      <c r="I151" s="80">
        <v>116713</v>
      </c>
      <c r="J151" s="80"/>
      <c r="K151" s="80">
        <v>115944</v>
      </c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BI151"/>
    </row>
    <row r="152" spans="1:61" s="82" customFormat="1" ht="12.75">
      <c r="A152" s="84"/>
      <c r="B152" s="12" t="s">
        <v>93</v>
      </c>
      <c r="C152" s="12"/>
      <c r="D152" s="12" t="s">
        <v>17</v>
      </c>
      <c r="G152" s="80">
        <v>8.11</v>
      </c>
      <c r="H152" s="80"/>
      <c r="I152" s="80">
        <v>8.19</v>
      </c>
      <c r="J152" s="80"/>
      <c r="K152" s="80">
        <v>8.08</v>
      </c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BI152"/>
    </row>
    <row r="153" spans="1:61" s="82" customFormat="1" ht="12.75">
      <c r="A153" s="84"/>
      <c r="B153" s="12" t="s">
        <v>94</v>
      </c>
      <c r="C153" s="12"/>
      <c r="D153" s="12" t="s">
        <v>17</v>
      </c>
      <c r="G153" s="80">
        <v>31.1</v>
      </c>
      <c r="H153" s="80"/>
      <c r="I153" s="80">
        <v>30.8</v>
      </c>
      <c r="J153" s="80"/>
      <c r="K153" s="80">
        <v>31.7</v>
      </c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BI153"/>
    </row>
    <row r="154" spans="1:61" s="82" customFormat="1" ht="12.75">
      <c r="A154" s="84"/>
      <c r="B154" s="12" t="s">
        <v>77</v>
      </c>
      <c r="C154" s="12"/>
      <c r="D154" s="12" t="s">
        <v>18</v>
      </c>
      <c r="G154" s="80">
        <v>388.75</v>
      </c>
      <c r="H154" s="80"/>
      <c r="I154" s="80">
        <v>388.83</v>
      </c>
      <c r="J154" s="80"/>
      <c r="K154" s="80">
        <v>391.83</v>
      </c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BI154"/>
    </row>
    <row r="155" spans="1:61" s="82" customFormat="1" ht="12.75">
      <c r="A155" s="84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BI155"/>
    </row>
    <row r="156" spans="1:61" s="81" customFormat="1" ht="12.75">
      <c r="A156" s="84">
        <v>6</v>
      </c>
      <c r="B156" s="83" t="s">
        <v>185</v>
      </c>
      <c r="F156" s="80"/>
      <c r="G156" s="66" t="s">
        <v>188</v>
      </c>
      <c r="H156" s="66"/>
      <c r="I156" s="66" t="s">
        <v>189</v>
      </c>
      <c r="J156" s="66"/>
      <c r="K156" s="66" t="s">
        <v>190</v>
      </c>
      <c r="L156" s="66"/>
      <c r="M156" s="66" t="s">
        <v>161</v>
      </c>
      <c r="N156" s="80"/>
      <c r="P156" s="80"/>
      <c r="R156" s="80"/>
      <c r="T156" s="80"/>
      <c r="V156" s="80"/>
      <c r="X156" s="80"/>
      <c r="Z156" s="80"/>
      <c r="AB156" s="80"/>
      <c r="AD156" s="80"/>
      <c r="AF156" s="80"/>
      <c r="BI156"/>
    </row>
    <row r="157" spans="1:61" s="81" customFormat="1" ht="12.75">
      <c r="A157" s="84"/>
      <c r="F157" s="80"/>
      <c r="H157" s="80"/>
      <c r="J157" s="80"/>
      <c r="L157" s="80"/>
      <c r="N157" s="80"/>
      <c r="P157" s="80"/>
      <c r="R157" s="80"/>
      <c r="T157" s="80"/>
      <c r="V157" s="80"/>
      <c r="X157" s="80"/>
      <c r="Z157" s="80"/>
      <c r="AB157" s="80"/>
      <c r="AD157" s="80"/>
      <c r="AF157" s="80"/>
      <c r="BI157"/>
    </row>
    <row r="158" spans="1:61" s="79" customFormat="1" ht="12.75">
      <c r="A158" s="84"/>
      <c r="B158" s="79" t="s">
        <v>12</v>
      </c>
      <c r="C158" s="79" t="s">
        <v>270</v>
      </c>
      <c r="D158" s="79" t="s">
        <v>13</v>
      </c>
      <c r="F158" s="80" t="s">
        <v>191</v>
      </c>
      <c r="G158" s="79">
        <v>0.021800216256</v>
      </c>
      <c r="H158" s="80" t="s">
        <v>191</v>
      </c>
      <c r="I158" s="79">
        <v>0.009100090272</v>
      </c>
      <c r="J158" s="80" t="s">
        <v>191</v>
      </c>
      <c r="K158" s="79">
        <v>0.013600134912</v>
      </c>
      <c r="L158" s="80" t="s">
        <v>191</v>
      </c>
      <c r="M158" s="79">
        <f>AVERAGE(G158,I158,K158)</f>
        <v>0.01483348048</v>
      </c>
      <c r="N158" s="80" t="s">
        <v>191</v>
      </c>
      <c r="P158" s="80" t="s">
        <v>191</v>
      </c>
      <c r="R158" s="80" t="s">
        <v>191</v>
      </c>
      <c r="T158" s="80" t="s">
        <v>191</v>
      </c>
      <c r="V158" s="80" t="s">
        <v>191</v>
      </c>
      <c r="X158" s="80" t="s">
        <v>191</v>
      </c>
      <c r="Z158" s="80" t="s">
        <v>191</v>
      </c>
      <c r="AB158" s="80" t="s">
        <v>191</v>
      </c>
      <c r="AD158" s="80" t="s">
        <v>191</v>
      </c>
      <c r="AF158" s="80" t="s">
        <v>191</v>
      </c>
      <c r="BI158"/>
    </row>
    <row r="159" spans="1:61" s="81" customFormat="1" ht="12.75">
      <c r="A159" s="84"/>
      <c r="B159" s="81" t="s">
        <v>110</v>
      </c>
      <c r="C159" s="79" t="s">
        <v>270</v>
      </c>
      <c r="D159" s="81" t="s">
        <v>15</v>
      </c>
      <c r="F159" s="80" t="s">
        <v>191</v>
      </c>
      <c r="G159" s="81">
        <v>330</v>
      </c>
      <c r="H159" s="80" t="s">
        <v>191</v>
      </c>
      <c r="I159" s="81">
        <v>409</v>
      </c>
      <c r="J159" s="80" t="s">
        <v>191</v>
      </c>
      <c r="K159" s="81">
        <v>518</v>
      </c>
      <c r="L159" s="80" t="s">
        <v>191</v>
      </c>
      <c r="M159" s="85">
        <f>AVERAGE(G159,I159,K159)</f>
        <v>419</v>
      </c>
      <c r="N159" s="80" t="s">
        <v>191</v>
      </c>
      <c r="P159" s="80" t="s">
        <v>191</v>
      </c>
      <c r="R159" s="80" t="s">
        <v>191</v>
      </c>
      <c r="T159" s="80" t="s">
        <v>191</v>
      </c>
      <c r="V159" s="80" t="s">
        <v>191</v>
      </c>
      <c r="X159" s="80" t="s">
        <v>191</v>
      </c>
      <c r="Z159" s="80" t="s">
        <v>191</v>
      </c>
      <c r="AB159" s="80" t="s">
        <v>191</v>
      </c>
      <c r="AD159" s="80" t="s">
        <v>191</v>
      </c>
      <c r="AF159" s="80" t="s">
        <v>191</v>
      </c>
      <c r="BI159"/>
    </row>
    <row r="160" spans="1:61" s="81" customFormat="1" ht="12.75">
      <c r="A160" s="84"/>
      <c r="B160" s="81" t="s">
        <v>192</v>
      </c>
      <c r="C160" s="79" t="s">
        <v>270</v>
      </c>
      <c r="D160" s="81" t="s">
        <v>15</v>
      </c>
      <c r="F160" s="80" t="s">
        <v>191</v>
      </c>
      <c r="G160" s="81">
        <v>275</v>
      </c>
      <c r="H160" s="80" t="s">
        <v>191</v>
      </c>
      <c r="I160" s="81">
        <v>324</v>
      </c>
      <c r="J160" s="80" t="s">
        <v>191</v>
      </c>
      <c r="K160" s="81">
        <v>356</v>
      </c>
      <c r="L160" s="80" t="s">
        <v>191</v>
      </c>
      <c r="M160" s="85">
        <f>AVERAGE(G160,I160,K160)</f>
        <v>318.3333333333333</v>
      </c>
      <c r="N160" s="80" t="s">
        <v>191</v>
      </c>
      <c r="P160" s="80" t="s">
        <v>191</v>
      </c>
      <c r="R160" s="80" t="s">
        <v>191</v>
      </c>
      <c r="T160" s="80" t="s">
        <v>191</v>
      </c>
      <c r="V160" s="80" t="s">
        <v>191</v>
      </c>
      <c r="X160" s="80" t="s">
        <v>191</v>
      </c>
      <c r="Z160" s="80" t="s">
        <v>191</v>
      </c>
      <c r="AB160" s="80" t="s">
        <v>191</v>
      </c>
      <c r="AD160" s="80" t="s">
        <v>191</v>
      </c>
      <c r="AF160" s="80" t="s">
        <v>191</v>
      </c>
      <c r="BI160"/>
    </row>
    <row r="161" spans="1:61" s="81" customFormat="1" ht="12.75">
      <c r="A161" s="84"/>
      <c r="B161" s="81" t="s">
        <v>129</v>
      </c>
      <c r="C161" s="79" t="s">
        <v>270</v>
      </c>
      <c r="D161" s="81" t="s">
        <v>15</v>
      </c>
      <c r="F161" s="80" t="s">
        <v>191</v>
      </c>
      <c r="G161" s="81">
        <v>19.7</v>
      </c>
      <c r="H161" s="80" t="s">
        <v>191</v>
      </c>
      <c r="I161" s="81">
        <v>19.6</v>
      </c>
      <c r="J161" s="80" t="s">
        <v>191</v>
      </c>
      <c r="K161" s="81">
        <v>19.5</v>
      </c>
      <c r="L161" s="80" t="s">
        <v>191</v>
      </c>
      <c r="M161" s="85">
        <f>AVERAGE(G161,I161,K161)</f>
        <v>19.599999999999998</v>
      </c>
      <c r="N161" s="80" t="s">
        <v>191</v>
      </c>
      <c r="P161" s="80" t="s">
        <v>191</v>
      </c>
      <c r="R161" s="80" t="s">
        <v>191</v>
      </c>
      <c r="T161" s="80" t="s">
        <v>191</v>
      </c>
      <c r="V161" s="80" t="s">
        <v>191</v>
      </c>
      <c r="X161" s="80" t="s">
        <v>191</v>
      </c>
      <c r="Z161" s="80" t="s">
        <v>191</v>
      </c>
      <c r="AB161" s="80" t="s">
        <v>191</v>
      </c>
      <c r="AD161" s="80" t="s">
        <v>191</v>
      </c>
      <c r="AF161" s="80" t="s">
        <v>191</v>
      </c>
      <c r="BI161"/>
    </row>
    <row r="162" spans="1:61" s="81" customFormat="1" ht="12.75">
      <c r="A162" s="84"/>
      <c r="B162" s="81" t="s">
        <v>112</v>
      </c>
      <c r="C162" s="79" t="s">
        <v>270</v>
      </c>
      <c r="D162" s="81" t="s">
        <v>15</v>
      </c>
      <c r="F162" s="80" t="s">
        <v>191</v>
      </c>
      <c r="G162" s="81">
        <v>18.3</v>
      </c>
      <c r="H162" s="80" t="s">
        <v>191</v>
      </c>
      <c r="I162" s="81">
        <v>18.2</v>
      </c>
      <c r="J162" s="80" t="s">
        <v>191</v>
      </c>
      <c r="K162" s="81">
        <v>17.9</v>
      </c>
      <c r="L162" s="80" t="s">
        <v>191</v>
      </c>
      <c r="M162" s="85">
        <f>AVERAGE(G162,I162,K162)</f>
        <v>18.133333333333333</v>
      </c>
      <c r="N162" s="80" t="s">
        <v>191</v>
      </c>
      <c r="P162" s="80" t="s">
        <v>191</v>
      </c>
      <c r="R162" s="80" t="s">
        <v>191</v>
      </c>
      <c r="T162" s="80" t="s">
        <v>191</v>
      </c>
      <c r="V162" s="80" t="s">
        <v>191</v>
      </c>
      <c r="X162" s="80" t="s">
        <v>191</v>
      </c>
      <c r="Z162" s="80" t="s">
        <v>191</v>
      </c>
      <c r="AB162" s="80" t="s">
        <v>191</v>
      </c>
      <c r="AD162" s="80" t="s">
        <v>191</v>
      </c>
      <c r="AF162" s="80" t="s">
        <v>191</v>
      </c>
      <c r="BI162"/>
    </row>
    <row r="164" spans="2:4" ht="12.75">
      <c r="B164" s="81" t="s">
        <v>96</v>
      </c>
      <c r="C164" s="82" t="s">
        <v>194</v>
      </c>
      <c r="D164" s="81" t="s">
        <v>270</v>
      </c>
    </row>
    <row r="165" spans="1:61" s="82" customFormat="1" ht="12.75">
      <c r="A165" s="84"/>
      <c r="B165" s="12" t="s">
        <v>78</v>
      </c>
      <c r="C165" s="12"/>
      <c r="D165" s="12" t="s">
        <v>16</v>
      </c>
      <c r="G165" s="80">
        <v>119409</v>
      </c>
      <c r="H165" s="80"/>
      <c r="I165" s="80">
        <v>114060</v>
      </c>
      <c r="J165" s="80"/>
      <c r="K165" s="80">
        <v>114702</v>
      </c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BI165"/>
    </row>
    <row r="166" spans="1:61" s="82" customFormat="1" ht="12.75">
      <c r="A166" s="84"/>
      <c r="B166" s="12" t="s">
        <v>93</v>
      </c>
      <c r="C166" s="12"/>
      <c r="D166" s="12" t="s">
        <v>17</v>
      </c>
      <c r="G166" s="80">
        <v>9.01</v>
      </c>
      <c r="H166" s="80"/>
      <c r="I166" s="80">
        <v>8.71</v>
      </c>
      <c r="J166" s="80"/>
      <c r="K166" s="80">
        <v>9.21</v>
      </c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BI166"/>
    </row>
    <row r="167" spans="1:61" s="82" customFormat="1" ht="12.75">
      <c r="A167" s="84"/>
      <c r="B167" s="12" t="s">
        <v>94</v>
      </c>
      <c r="C167" s="12"/>
      <c r="D167" s="12" t="s">
        <v>17</v>
      </c>
      <c r="G167" s="80">
        <v>30.9</v>
      </c>
      <c r="H167" s="80"/>
      <c r="I167" s="80">
        <v>30.6</v>
      </c>
      <c r="J167" s="80"/>
      <c r="K167" s="80">
        <v>31</v>
      </c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BI167"/>
    </row>
    <row r="168" spans="1:61" s="82" customFormat="1" ht="12.75">
      <c r="A168" s="84"/>
      <c r="B168" s="12" t="s">
        <v>77</v>
      </c>
      <c r="C168" s="12"/>
      <c r="D168" s="12" t="s">
        <v>18</v>
      </c>
      <c r="G168" s="80">
        <v>376.17</v>
      </c>
      <c r="H168" s="80"/>
      <c r="I168" s="80">
        <v>395.33</v>
      </c>
      <c r="J168" s="80"/>
      <c r="K168" s="80">
        <v>390.17</v>
      </c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BI168"/>
    </row>
    <row r="170" spans="1:61" s="82" customFormat="1" ht="12.75">
      <c r="A170" s="84"/>
      <c r="B170" s="82" t="s">
        <v>246</v>
      </c>
      <c r="C170" s="81" t="s">
        <v>270</v>
      </c>
      <c r="D170" s="82" t="s">
        <v>17</v>
      </c>
      <c r="G170" s="80">
        <v>99.99955</v>
      </c>
      <c r="H170" s="80"/>
      <c r="I170" s="80">
        <v>99.99954</v>
      </c>
      <c r="J170" s="80"/>
      <c r="K170" s="80">
        <v>99.99949</v>
      </c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I170"/>
    </row>
    <row r="171" spans="1:61" s="82" customFormat="1" ht="12.75">
      <c r="A171" s="84"/>
      <c r="B171" s="82" t="s">
        <v>245</v>
      </c>
      <c r="C171" s="81" t="s">
        <v>270</v>
      </c>
      <c r="D171" s="82" t="s">
        <v>17</v>
      </c>
      <c r="G171" s="80">
        <v>99.99997</v>
      </c>
      <c r="H171" s="80"/>
      <c r="I171" s="80">
        <v>99.999971</v>
      </c>
      <c r="J171" s="80"/>
      <c r="K171" s="80">
        <v>99.999267</v>
      </c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I171"/>
    </row>
    <row r="172" spans="1:61" s="82" customFormat="1" ht="12.75">
      <c r="A172" s="84"/>
      <c r="B172" s="82" t="s">
        <v>244</v>
      </c>
      <c r="C172" s="81" t="s">
        <v>270</v>
      </c>
      <c r="D172" s="82" t="s">
        <v>17</v>
      </c>
      <c r="G172" s="80">
        <v>99.99982</v>
      </c>
      <c r="H172" s="80"/>
      <c r="I172" s="80">
        <v>99.99982</v>
      </c>
      <c r="J172" s="80"/>
      <c r="K172" s="80">
        <v>99.99984</v>
      </c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I172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6"/>
  <sheetViews>
    <sheetView workbookViewId="0" topLeftCell="B1">
      <selection activeCell="C6" sqref="C6"/>
    </sheetView>
  </sheetViews>
  <sheetFormatPr defaultColWidth="9.140625" defaultRowHeight="12.75"/>
  <cols>
    <col min="1" max="1" width="5.57421875" style="3" hidden="1" customWidth="1"/>
    <col min="2" max="2" width="18.8515625" style="2" customWidth="1"/>
    <col min="3" max="3" width="5.8515625" style="2" customWidth="1"/>
    <col min="4" max="4" width="9.28125" style="2" customWidth="1"/>
    <col min="5" max="5" width="4.140625" style="3" customWidth="1"/>
    <col min="6" max="6" width="8.8515625" style="5" customWidth="1"/>
    <col min="7" max="7" width="3.7109375" style="5" customWidth="1"/>
    <col min="8" max="8" width="9.57421875" style="4" customWidth="1"/>
    <col min="9" max="9" width="3.8515625" style="4" customWidth="1"/>
    <col min="10" max="10" width="9.00390625" style="3" customWidth="1"/>
    <col min="11" max="11" width="3.8515625" style="3" customWidth="1"/>
    <col min="12" max="12" width="10.00390625" style="3" customWidth="1"/>
    <col min="13" max="13" width="3.8515625" style="3" customWidth="1"/>
    <col min="14" max="14" width="9.8515625" style="3" customWidth="1"/>
    <col min="15" max="15" width="4.421875" style="3" customWidth="1"/>
    <col min="16" max="16" width="11.00390625" style="3" customWidth="1"/>
    <col min="17" max="17" width="4.00390625" style="3" customWidth="1"/>
    <col min="18" max="18" width="11.00390625" style="3" customWidth="1"/>
    <col min="19" max="19" width="4.140625" style="3" customWidth="1"/>
    <col min="20" max="20" width="10.00390625" style="3" customWidth="1"/>
    <col min="21" max="21" width="3.7109375" style="3" customWidth="1"/>
    <col min="22" max="22" width="10.00390625" style="3" customWidth="1"/>
    <col min="23" max="23" width="4.00390625" style="3" customWidth="1"/>
    <col min="24" max="24" width="10.140625" style="3" customWidth="1"/>
    <col min="25" max="25" width="3.8515625" style="3" customWidth="1"/>
    <col min="26" max="26" width="9.7109375" style="3" customWidth="1"/>
    <col min="27" max="27" width="4.140625" style="3" customWidth="1"/>
    <col min="28" max="28" width="9.8515625" style="3" customWidth="1"/>
    <col min="29" max="29" width="2.140625" style="3" customWidth="1"/>
    <col min="30" max="30" width="9.421875" style="3" customWidth="1"/>
    <col min="31" max="31" width="2.421875" style="3" customWidth="1"/>
    <col min="32" max="32" width="9.421875" style="3" customWidth="1"/>
    <col min="33" max="33" width="2.7109375" style="3" customWidth="1"/>
    <col min="34" max="34" width="9.7109375" style="3" customWidth="1"/>
    <col min="35" max="35" width="2.57421875" style="3" customWidth="1"/>
    <col min="36" max="36" width="9.57421875" style="38" customWidth="1"/>
    <col min="37" max="37" width="4.421875" style="38" customWidth="1"/>
    <col min="38" max="38" width="8.8515625" style="3" customWidth="1"/>
    <col min="39" max="39" width="3.7109375" style="3" customWidth="1"/>
    <col min="40" max="40" width="8.8515625" style="3" customWidth="1"/>
    <col min="41" max="41" width="3.8515625" style="3" customWidth="1"/>
    <col min="42" max="42" width="8.8515625" style="3" customWidth="1"/>
    <col min="43" max="43" width="4.421875" style="3" customWidth="1"/>
    <col min="44" max="44" width="8.8515625" style="3" customWidth="1"/>
    <col min="45" max="45" width="4.421875" style="3" customWidth="1"/>
    <col min="46" max="46" width="9.7109375" style="3" customWidth="1"/>
    <col min="47" max="47" width="4.57421875" style="3" customWidth="1"/>
    <col min="48" max="48" width="8.8515625" style="3" customWidth="1"/>
    <col min="49" max="49" width="4.7109375" style="3" customWidth="1"/>
    <col min="50" max="50" width="9.421875" style="3" customWidth="1"/>
    <col min="51" max="51" width="4.00390625" style="3" customWidth="1"/>
    <col min="52" max="52" width="10.57421875" style="3" customWidth="1"/>
    <col min="53" max="16384" width="8.8515625" style="3" customWidth="1"/>
  </cols>
  <sheetData>
    <row r="1" spans="2:25" ht="12.75">
      <c r="B1" s="37" t="s">
        <v>255</v>
      </c>
      <c r="C1" s="37"/>
      <c r="D1" s="16"/>
      <c r="E1" s="38"/>
      <c r="F1" s="39"/>
      <c r="G1" s="39"/>
      <c r="H1" s="40"/>
      <c r="I1" s="40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ht="12.75">
      <c r="B2" s="16"/>
      <c r="C2" s="16"/>
      <c r="D2" s="16"/>
      <c r="E2" s="38"/>
      <c r="F2" s="39"/>
      <c r="G2" s="39"/>
      <c r="H2" s="40"/>
      <c r="I2" s="40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52" ht="12.75">
      <c r="A3" s="3" t="s">
        <v>97</v>
      </c>
      <c r="B3" s="37" t="s">
        <v>134</v>
      </c>
      <c r="C3" s="37" t="s">
        <v>139</v>
      </c>
      <c r="D3" s="16"/>
      <c r="E3" s="38"/>
      <c r="F3" s="58" t="s">
        <v>188</v>
      </c>
      <c r="G3" s="58"/>
      <c r="H3" s="58" t="s">
        <v>189</v>
      </c>
      <c r="I3" s="58"/>
      <c r="J3" s="58" t="s">
        <v>190</v>
      </c>
      <c r="K3" s="58"/>
      <c r="L3" s="40" t="s">
        <v>161</v>
      </c>
      <c r="M3" s="40"/>
      <c r="N3" s="58" t="s">
        <v>188</v>
      </c>
      <c r="O3" s="58"/>
      <c r="P3" s="58" t="s">
        <v>189</v>
      </c>
      <c r="Q3" s="58"/>
      <c r="R3" s="58" t="s">
        <v>190</v>
      </c>
      <c r="S3" s="58"/>
      <c r="T3" s="40" t="s">
        <v>161</v>
      </c>
      <c r="U3" s="40"/>
      <c r="V3" s="58" t="s">
        <v>188</v>
      </c>
      <c r="W3" s="58"/>
      <c r="X3" s="58" t="s">
        <v>189</v>
      </c>
      <c r="Y3" s="58"/>
      <c r="Z3" s="58" t="s">
        <v>190</v>
      </c>
      <c r="AA3" s="58"/>
      <c r="AB3" s="40" t="s">
        <v>161</v>
      </c>
      <c r="AC3" s="40"/>
      <c r="AD3" s="58" t="s">
        <v>188</v>
      </c>
      <c r="AE3" s="58"/>
      <c r="AF3" s="58" t="s">
        <v>189</v>
      </c>
      <c r="AG3" s="58"/>
      <c r="AH3" s="58" t="s">
        <v>190</v>
      </c>
      <c r="AI3" s="58"/>
      <c r="AJ3" s="40" t="s">
        <v>161</v>
      </c>
      <c r="AK3" s="40"/>
      <c r="AL3" s="58" t="s">
        <v>188</v>
      </c>
      <c r="AM3" s="58"/>
      <c r="AN3" s="58" t="s">
        <v>189</v>
      </c>
      <c r="AO3" s="58"/>
      <c r="AP3" s="58" t="s">
        <v>190</v>
      </c>
      <c r="AQ3" s="58"/>
      <c r="AR3" s="40" t="s">
        <v>161</v>
      </c>
      <c r="AS3" s="40"/>
      <c r="AT3" s="58" t="s">
        <v>188</v>
      </c>
      <c r="AU3" s="58"/>
      <c r="AV3" s="58" t="s">
        <v>189</v>
      </c>
      <c r="AW3" s="58"/>
      <c r="AX3" s="58" t="s">
        <v>190</v>
      </c>
      <c r="AY3" s="58"/>
      <c r="AZ3" s="40" t="s">
        <v>161</v>
      </c>
    </row>
    <row r="4" spans="2:52" ht="12.75">
      <c r="B4" s="37"/>
      <c r="C4" s="37"/>
      <c r="D4" s="16"/>
      <c r="E4" s="38"/>
      <c r="F4" s="58"/>
      <c r="G4" s="58"/>
      <c r="H4" s="58"/>
      <c r="I4" s="58"/>
      <c r="J4" s="58"/>
      <c r="K4" s="58"/>
      <c r="L4" s="40"/>
      <c r="M4" s="40"/>
      <c r="N4" s="58"/>
      <c r="O4" s="58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2:52" ht="12.75">
      <c r="B5" s="16" t="s">
        <v>265</v>
      </c>
      <c r="C5" s="37"/>
      <c r="D5" s="16"/>
      <c r="E5" s="38"/>
      <c r="F5" s="58" t="s">
        <v>292</v>
      </c>
      <c r="G5" s="58"/>
      <c r="H5" s="58" t="s">
        <v>292</v>
      </c>
      <c r="I5" s="58"/>
      <c r="J5" s="58" t="s">
        <v>292</v>
      </c>
      <c r="K5" s="58"/>
      <c r="L5" s="58" t="s">
        <v>292</v>
      </c>
      <c r="M5" s="40"/>
      <c r="N5" s="58" t="s">
        <v>293</v>
      </c>
      <c r="O5" s="58"/>
      <c r="P5" s="40" t="s">
        <v>293</v>
      </c>
      <c r="Q5" s="40"/>
      <c r="R5" s="58" t="s">
        <v>293</v>
      </c>
      <c r="S5" s="58"/>
      <c r="T5" s="40" t="s">
        <v>293</v>
      </c>
      <c r="U5" s="40"/>
      <c r="V5" s="40" t="s">
        <v>294</v>
      </c>
      <c r="W5" s="40"/>
      <c r="X5" s="40" t="s">
        <v>294</v>
      </c>
      <c r="Y5" s="40"/>
      <c r="Z5" s="40" t="s">
        <v>294</v>
      </c>
      <c r="AA5" s="40"/>
      <c r="AB5" s="40" t="s">
        <v>294</v>
      </c>
      <c r="AC5" s="40"/>
      <c r="AD5" s="40" t="s">
        <v>295</v>
      </c>
      <c r="AE5" s="40"/>
      <c r="AF5" s="40" t="s">
        <v>295</v>
      </c>
      <c r="AG5" s="40"/>
      <c r="AH5" s="40" t="s">
        <v>295</v>
      </c>
      <c r="AI5" s="40"/>
      <c r="AJ5" s="40" t="s">
        <v>295</v>
      </c>
      <c r="AK5" s="40"/>
      <c r="AL5" s="40" t="s">
        <v>296</v>
      </c>
      <c r="AM5" s="40"/>
      <c r="AN5" s="40" t="s">
        <v>296</v>
      </c>
      <c r="AO5" s="40"/>
      <c r="AP5" s="40" t="s">
        <v>296</v>
      </c>
      <c r="AQ5" s="40"/>
      <c r="AR5" s="40" t="s">
        <v>296</v>
      </c>
      <c r="AS5" s="40"/>
      <c r="AT5" s="40" t="s">
        <v>297</v>
      </c>
      <c r="AU5" s="40"/>
      <c r="AV5" s="40" t="s">
        <v>297</v>
      </c>
      <c r="AW5" s="40"/>
      <c r="AX5" s="40" t="s">
        <v>297</v>
      </c>
      <c r="AY5" s="40"/>
      <c r="AZ5" s="40" t="s">
        <v>297</v>
      </c>
    </row>
    <row r="6" spans="2:52" s="38" customFormat="1" ht="12.75">
      <c r="B6" s="16" t="s">
        <v>266</v>
      </c>
      <c r="C6" s="16"/>
      <c r="D6" s="16"/>
      <c r="F6" s="58" t="s">
        <v>118</v>
      </c>
      <c r="G6" s="58"/>
      <c r="H6" s="58" t="s">
        <v>118</v>
      </c>
      <c r="I6" s="58"/>
      <c r="J6" s="58" t="s">
        <v>118</v>
      </c>
      <c r="K6" s="58"/>
      <c r="L6" s="58" t="s">
        <v>118</v>
      </c>
      <c r="M6" s="40"/>
      <c r="N6" s="40" t="s">
        <v>199</v>
      </c>
      <c r="O6" s="40"/>
      <c r="P6" s="40" t="s">
        <v>199</v>
      </c>
      <c r="Q6" s="40"/>
      <c r="R6" s="40" t="s">
        <v>199</v>
      </c>
      <c r="S6" s="40"/>
      <c r="T6" s="40" t="s">
        <v>199</v>
      </c>
      <c r="U6" s="40"/>
      <c r="V6" s="40" t="s">
        <v>268</v>
      </c>
      <c r="W6" s="40"/>
      <c r="X6" s="40" t="s">
        <v>268</v>
      </c>
      <c r="Y6" s="40"/>
      <c r="Z6" s="40" t="s">
        <v>268</v>
      </c>
      <c r="AA6" s="40"/>
      <c r="AB6" s="40" t="s">
        <v>268</v>
      </c>
      <c r="AC6" s="40"/>
      <c r="AD6" s="40" t="s">
        <v>53</v>
      </c>
      <c r="AE6" s="40"/>
      <c r="AF6" s="40" t="s">
        <v>53</v>
      </c>
      <c r="AG6" s="40"/>
      <c r="AH6" s="40" t="s">
        <v>53</v>
      </c>
      <c r="AI6" s="40"/>
      <c r="AJ6" s="40" t="s">
        <v>53</v>
      </c>
      <c r="AK6" s="40"/>
      <c r="AL6" s="40" t="s">
        <v>269</v>
      </c>
      <c r="AM6" s="40"/>
      <c r="AN6" s="40" t="s">
        <v>269</v>
      </c>
      <c r="AO6" s="40"/>
      <c r="AP6" s="40" t="s">
        <v>269</v>
      </c>
      <c r="AQ6" s="40"/>
      <c r="AR6" s="40" t="s">
        <v>269</v>
      </c>
      <c r="AS6" s="40"/>
      <c r="AT6" s="40" t="s">
        <v>24</v>
      </c>
      <c r="AU6" s="40"/>
      <c r="AV6" s="40" t="s">
        <v>24</v>
      </c>
      <c r="AW6" s="40"/>
      <c r="AX6" s="40" t="s">
        <v>24</v>
      </c>
      <c r="AY6" s="40"/>
      <c r="AZ6" s="40" t="s">
        <v>24</v>
      </c>
    </row>
    <row r="7" spans="2:52" s="38" customFormat="1" ht="12.75">
      <c r="B7" s="16" t="s">
        <v>298</v>
      </c>
      <c r="C7" s="16"/>
      <c r="D7" s="16"/>
      <c r="F7" s="58" t="s">
        <v>118</v>
      </c>
      <c r="G7" s="58"/>
      <c r="H7" s="58" t="s">
        <v>118</v>
      </c>
      <c r="I7" s="58"/>
      <c r="J7" s="58" t="s">
        <v>118</v>
      </c>
      <c r="K7" s="58"/>
      <c r="L7" s="58" t="s">
        <v>118</v>
      </c>
      <c r="M7" s="40"/>
      <c r="N7" s="40" t="s">
        <v>299</v>
      </c>
      <c r="O7" s="40"/>
      <c r="P7" s="27" t="s">
        <v>299</v>
      </c>
      <c r="Q7" s="40"/>
      <c r="R7" s="40" t="s">
        <v>299</v>
      </c>
      <c r="S7" s="40"/>
      <c r="T7" s="27" t="s">
        <v>299</v>
      </c>
      <c r="U7" s="40"/>
      <c r="V7" s="27" t="s">
        <v>61</v>
      </c>
      <c r="W7" s="40"/>
      <c r="X7" s="27" t="s">
        <v>61</v>
      </c>
      <c r="Y7" s="40"/>
      <c r="Z7" s="27" t="s">
        <v>61</v>
      </c>
      <c r="AA7" s="40"/>
      <c r="AB7" s="27" t="s">
        <v>61</v>
      </c>
      <c r="AC7" s="40"/>
      <c r="AD7" s="40" t="s">
        <v>53</v>
      </c>
      <c r="AE7" s="40"/>
      <c r="AF7" s="40" t="s">
        <v>53</v>
      </c>
      <c r="AG7" s="40"/>
      <c r="AH7" s="40" t="s">
        <v>53</v>
      </c>
      <c r="AI7" s="40"/>
      <c r="AJ7" s="40" t="s">
        <v>53</v>
      </c>
      <c r="AK7" s="40"/>
      <c r="AL7" s="27" t="s">
        <v>300</v>
      </c>
      <c r="AM7" s="40"/>
      <c r="AN7" s="27" t="s">
        <v>300</v>
      </c>
      <c r="AO7" s="40"/>
      <c r="AP7" s="27" t="s">
        <v>300</v>
      </c>
      <c r="AQ7" s="40"/>
      <c r="AR7" s="27" t="s">
        <v>300</v>
      </c>
      <c r="AS7" s="40"/>
      <c r="AT7" s="40" t="s">
        <v>24</v>
      </c>
      <c r="AU7" s="40"/>
      <c r="AV7" s="40" t="s">
        <v>24</v>
      </c>
      <c r="AW7" s="40"/>
      <c r="AX7" s="40" t="s">
        <v>24</v>
      </c>
      <c r="AY7" s="40"/>
      <c r="AZ7" s="40" t="s">
        <v>24</v>
      </c>
    </row>
    <row r="8" spans="2:52" s="38" customFormat="1" ht="12.75">
      <c r="B8" s="16" t="s">
        <v>47</v>
      </c>
      <c r="C8" s="16"/>
      <c r="D8" s="16"/>
      <c r="F8" s="58" t="s">
        <v>118</v>
      </c>
      <c r="G8" s="58"/>
      <c r="H8" s="58" t="s">
        <v>118</v>
      </c>
      <c r="I8" s="58"/>
      <c r="J8" s="58" t="s">
        <v>118</v>
      </c>
      <c r="K8" s="58"/>
      <c r="L8" s="58" t="s">
        <v>118</v>
      </c>
      <c r="M8" s="58"/>
      <c r="N8" s="40" t="s">
        <v>141</v>
      </c>
      <c r="O8" s="40"/>
      <c r="P8" s="40" t="s">
        <v>141</v>
      </c>
      <c r="Q8" s="40"/>
      <c r="R8" s="40" t="s">
        <v>141</v>
      </c>
      <c r="S8" s="40"/>
      <c r="T8" s="40" t="s">
        <v>141</v>
      </c>
      <c r="U8" s="40"/>
      <c r="V8" s="40" t="s">
        <v>142</v>
      </c>
      <c r="W8" s="40"/>
      <c r="X8" s="40" t="s">
        <v>142</v>
      </c>
      <c r="Y8" s="40"/>
      <c r="Z8" s="40" t="s">
        <v>142</v>
      </c>
      <c r="AA8" s="40"/>
      <c r="AB8" s="40" t="s">
        <v>142</v>
      </c>
      <c r="AC8" s="40"/>
      <c r="AD8" s="40" t="s">
        <v>53</v>
      </c>
      <c r="AE8" s="40"/>
      <c r="AF8" s="40" t="s">
        <v>53</v>
      </c>
      <c r="AG8" s="40"/>
      <c r="AH8" s="40" t="s">
        <v>53</v>
      </c>
      <c r="AI8" s="40"/>
      <c r="AJ8" s="40" t="s">
        <v>53</v>
      </c>
      <c r="AK8" s="40"/>
      <c r="AL8" s="40" t="s">
        <v>143</v>
      </c>
      <c r="AM8" s="40"/>
      <c r="AN8" s="40" t="s">
        <v>143</v>
      </c>
      <c r="AO8" s="40"/>
      <c r="AP8" s="40" t="s">
        <v>143</v>
      </c>
      <c r="AQ8" s="40"/>
      <c r="AR8" s="40" t="s">
        <v>143</v>
      </c>
      <c r="AS8" s="40"/>
      <c r="AT8" s="40" t="s">
        <v>24</v>
      </c>
      <c r="AU8" s="40"/>
      <c r="AV8" s="40" t="s">
        <v>24</v>
      </c>
      <c r="AW8" s="40"/>
      <c r="AX8" s="40" t="s">
        <v>24</v>
      </c>
      <c r="AY8" s="40"/>
      <c r="AZ8" s="40" t="s">
        <v>24</v>
      </c>
    </row>
    <row r="9" spans="2:57" ht="12.75">
      <c r="B9" s="16" t="s">
        <v>98</v>
      </c>
      <c r="C9" s="16"/>
      <c r="D9" s="16" t="s">
        <v>130</v>
      </c>
      <c r="E9" s="38"/>
      <c r="F9" s="92">
        <v>3084000</v>
      </c>
      <c r="G9" s="92"/>
      <c r="H9" s="92">
        <v>2268000</v>
      </c>
      <c r="I9" s="92"/>
      <c r="J9" s="92">
        <v>8981000</v>
      </c>
      <c r="K9" s="92"/>
      <c r="L9" s="92">
        <f>AVERAGE(J9,H9,F9)</f>
        <v>4777666.666666667</v>
      </c>
      <c r="M9" s="92"/>
      <c r="N9" s="92">
        <v>95760000</v>
      </c>
      <c r="O9" s="92"/>
      <c r="P9" s="93">
        <v>94800000</v>
      </c>
      <c r="Q9" s="93"/>
      <c r="R9" s="93">
        <v>96880000</v>
      </c>
      <c r="S9" s="93"/>
      <c r="T9" s="92">
        <f>AVERAGE(R9,P9,N9)</f>
        <v>95813333.33333333</v>
      </c>
      <c r="U9" s="92"/>
      <c r="V9" s="93">
        <v>9536000</v>
      </c>
      <c r="W9" s="93"/>
      <c r="X9" s="93">
        <v>9781000</v>
      </c>
      <c r="Y9" s="93"/>
      <c r="Z9" s="94">
        <v>9324000</v>
      </c>
      <c r="AA9" s="94"/>
      <c r="AB9" s="92">
        <f>AVERAGE(Z9,X9,V9)</f>
        <v>9547000</v>
      </c>
      <c r="AC9" s="92"/>
      <c r="AD9" s="94"/>
      <c r="AE9" s="94"/>
      <c r="AF9" s="94"/>
      <c r="AG9" s="94"/>
      <c r="AH9" s="94"/>
      <c r="AI9" s="94"/>
      <c r="AJ9" s="93"/>
      <c r="AK9" s="93"/>
      <c r="AL9" s="94">
        <v>391900</v>
      </c>
      <c r="AM9" s="94"/>
      <c r="AN9" s="94">
        <v>271400</v>
      </c>
      <c r="AO9" s="94"/>
      <c r="AP9" s="94">
        <v>281700</v>
      </c>
      <c r="AQ9" s="94"/>
      <c r="AR9" s="95">
        <f>AVERAGE(AP9,AN9,AL9)</f>
        <v>315000</v>
      </c>
      <c r="AS9" s="64"/>
      <c r="AT9" s="64"/>
      <c r="AU9" s="64"/>
      <c r="AV9" s="64"/>
      <c r="AW9" s="64"/>
      <c r="AX9" s="64"/>
      <c r="AY9" s="64"/>
      <c r="AZ9" s="73"/>
      <c r="BA9" s="73"/>
      <c r="BC9" s="73"/>
      <c r="BE9" s="73"/>
    </row>
    <row r="10" spans="2:57" ht="12.75">
      <c r="B10" s="16" t="s">
        <v>267</v>
      </c>
      <c r="C10" s="16"/>
      <c r="D10" s="16" t="s">
        <v>204</v>
      </c>
      <c r="E10" s="38"/>
      <c r="F10" s="92">
        <f>F11*1000000*454/F9</f>
        <v>11718.028534370947</v>
      </c>
      <c r="G10" s="92"/>
      <c r="H10" s="92">
        <f>H11*1000000*454/H9</f>
        <v>12010.582010582011</v>
      </c>
      <c r="I10" s="92"/>
      <c r="J10" s="92">
        <f>J11*1000000*454/J9</f>
        <v>11222.358311991982</v>
      </c>
      <c r="K10" s="92"/>
      <c r="L10" s="92">
        <f>L11*1000000*454/L9</f>
        <v>11453.736133398452</v>
      </c>
      <c r="M10" s="92"/>
      <c r="N10" s="92"/>
      <c r="O10" s="92"/>
      <c r="P10" s="93"/>
      <c r="Q10" s="93"/>
      <c r="R10" s="93"/>
      <c r="S10" s="93"/>
      <c r="T10" s="92"/>
      <c r="U10" s="92"/>
      <c r="V10" s="92">
        <f>V11*1000000*454/V9</f>
        <v>13520.973154362417</v>
      </c>
      <c r="W10" s="93"/>
      <c r="X10" s="92">
        <f>X11*1000000*454/X9</f>
        <v>13228.708720989674</v>
      </c>
      <c r="Y10" s="93"/>
      <c r="Z10" s="92">
        <f>Z11*1000000*454/Z9</f>
        <v>12416.344916344917</v>
      </c>
      <c r="AA10" s="94"/>
      <c r="AB10" s="92">
        <f>AB11*1000000*454/AB9</f>
        <v>13061.555113299117</v>
      </c>
      <c r="AC10" s="92"/>
      <c r="AD10" s="94"/>
      <c r="AE10" s="94"/>
      <c r="AF10" s="94"/>
      <c r="AG10" s="94"/>
      <c r="AH10" s="94"/>
      <c r="AI10" s="94"/>
      <c r="AJ10" s="93"/>
      <c r="AK10" s="93"/>
      <c r="AL10" s="92">
        <f>AL11*1000000*454/AL9</f>
        <v>15071.548864506252</v>
      </c>
      <c r="AM10" s="94"/>
      <c r="AN10" s="92">
        <f>AN11*1000000*454/AN9</f>
        <v>14603.6109064112</v>
      </c>
      <c r="AO10" s="94"/>
      <c r="AP10" s="92">
        <f>AP11*1000000*454/AP9</f>
        <v>14939.936102236421</v>
      </c>
      <c r="AQ10" s="94"/>
      <c r="AR10" s="92">
        <f>AR11*1000000*454/AR9</f>
        <v>14897.925925925923</v>
      </c>
      <c r="AS10" s="64"/>
      <c r="AT10" s="64"/>
      <c r="AU10" s="64"/>
      <c r="AV10" s="64"/>
      <c r="AW10" s="64"/>
      <c r="AX10" s="64"/>
      <c r="AY10" s="64"/>
      <c r="AZ10" s="73"/>
      <c r="BA10" s="73"/>
      <c r="BC10" s="73"/>
      <c r="BE10" s="73"/>
    </row>
    <row r="11" spans="2:57" ht="12.75">
      <c r="B11" s="16" t="s">
        <v>301</v>
      </c>
      <c r="C11" s="16"/>
      <c r="D11" s="16" t="s">
        <v>52</v>
      </c>
      <c r="E11" s="38"/>
      <c r="F11" s="96">
        <v>79.6</v>
      </c>
      <c r="G11" s="96"/>
      <c r="H11" s="96">
        <v>60</v>
      </c>
      <c r="I11" s="96"/>
      <c r="J11" s="96">
        <v>222</v>
      </c>
      <c r="K11" s="96"/>
      <c r="L11" s="96">
        <f>AVERAGE(J11,H11,F11)</f>
        <v>120.53333333333335</v>
      </c>
      <c r="M11" s="96"/>
      <c r="N11" s="96">
        <v>0</v>
      </c>
      <c r="O11" s="96"/>
      <c r="P11" s="97">
        <v>0</v>
      </c>
      <c r="Q11" s="97"/>
      <c r="R11" s="97">
        <v>0</v>
      </c>
      <c r="S11" s="38"/>
      <c r="T11" s="72">
        <f>AVERAGE(R11,P11,N11)</f>
        <v>0</v>
      </c>
      <c r="U11" s="72"/>
      <c r="V11" s="38">
        <v>284</v>
      </c>
      <c r="W11" s="38"/>
      <c r="X11" s="38">
        <v>285</v>
      </c>
      <c r="Y11" s="38"/>
      <c r="Z11" s="3">
        <v>255</v>
      </c>
      <c r="AB11" s="72">
        <f>AVERAGE(Z11,X11,V11)</f>
        <v>274.6666666666667</v>
      </c>
      <c r="AC11" s="72"/>
      <c r="AL11" s="7">
        <v>13.01</v>
      </c>
      <c r="AM11" s="7"/>
      <c r="AN11" s="7">
        <v>8.73</v>
      </c>
      <c r="AO11" s="7"/>
      <c r="AP11" s="7">
        <v>9.27</v>
      </c>
      <c r="AR11" s="45">
        <f>AVERAGE(AP11,AN11,AL11)</f>
        <v>10.336666666666666</v>
      </c>
      <c r="AS11" s="45"/>
      <c r="AT11" s="7">
        <f>AL11+AD11+V11+N11+F11</f>
        <v>376.61</v>
      </c>
      <c r="AU11" s="9"/>
      <c r="AV11" s="7">
        <f>AN11+AF11+X11+P11+H11</f>
        <v>353.73</v>
      </c>
      <c r="AW11" s="9"/>
      <c r="AX11" s="7">
        <f>AP11+AH11+Z11+R11+J11</f>
        <v>486.27</v>
      </c>
      <c r="AY11" s="75"/>
      <c r="AZ11" s="7">
        <f>AR11+AJ11+AB11+T11+L11</f>
        <v>405.5366666666667</v>
      </c>
      <c r="BA11" s="73"/>
      <c r="BC11" s="73"/>
      <c r="BE11" s="73"/>
    </row>
    <row r="12" spans="2:57" ht="12.75">
      <c r="B12" s="16" t="s">
        <v>48</v>
      </c>
      <c r="C12" s="16"/>
      <c r="D12" s="16" t="s">
        <v>130</v>
      </c>
      <c r="E12" s="40"/>
      <c r="F12" s="96">
        <f>244*F9/1000000</f>
        <v>752.496</v>
      </c>
      <c r="G12" s="96"/>
      <c r="H12" s="96">
        <f>286*H9/1000000</f>
        <v>648.648</v>
      </c>
      <c r="I12" s="96"/>
      <c r="J12" s="96">
        <f>250*J9/1000000</f>
        <v>2245.25</v>
      </c>
      <c r="K12" s="96"/>
      <c r="L12" s="96"/>
      <c r="M12" s="96"/>
      <c r="N12" s="96">
        <f>47.6*N$9/1000000</f>
        <v>4558.176</v>
      </c>
      <c r="O12" s="96"/>
      <c r="P12" s="96">
        <f>156*P$9/1000000</f>
        <v>14788.8</v>
      </c>
      <c r="Q12" s="96"/>
      <c r="R12" s="96">
        <f>190*R$9/1000000</f>
        <v>18407.2</v>
      </c>
      <c r="S12" s="72"/>
      <c r="T12" s="72"/>
      <c r="U12" s="72"/>
      <c r="V12" s="97">
        <f>3430*V$9/1000000</f>
        <v>32708.48</v>
      </c>
      <c r="W12" s="97"/>
      <c r="X12" s="97">
        <f>3970*X$9/1000000</f>
        <v>38830.57</v>
      </c>
      <c r="Y12" s="97"/>
      <c r="Z12" s="97">
        <f>3420*Z$9/1000000</f>
        <v>31888.08</v>
      </c>
      <c r="AA12" s="41"/>
      <c r="AB12" s="72"/>
      <c r="AC12" s="72"/>
      <c r="AD12" s="94">
        <f>419.37*454</f>
        <v>190393.98</v>
      </c>
      <c r="AE12" s="94"/>
      <c r="AF12" s="94">
        <f>391.71*454</f>
        <v>177836.34</v>
      </c>
      <c r="AG12" s="94"/>
      <c r="AH12" s="94">
        <f>361.31*454</f>
        <v>164034.74</v>
      </c>
      <c r="AI12" s="94"/>
      <c r="AJ12" s="95">
        <f>AVERAGE(AH12,AF12,AD12)</f>
        <v>177421.68666666665</v>
      </c>
      <c r="AK12" s="52"/>
      <c r="AL12" s="7">
        <f>499/1000000*AL$9</f>
        <v>195.5581</v>
      </c>
      <c r="AM12" s="7"/>
      <c r="AN12" s="7">
        <f>499/1000000*AN$9</f>
        <v>135.4286</v>
      </c>
      <c r="AO12" s="7"/>
      <c r="AP12" s="7">
        <f>502/1000000*AP$9</f>
        <v>141.4134</v>
      </c>
      <c r="AQ12" s="10"/>
      <c r="AR12" s="45"/>
      <c r="AS12" s="45"/>
      <c r="AT12" s="45"/>
      <c r="AU12" s="45"/>
      <c r="AV12" s="45"/>
      <c r="AW12" s="45"/>
      <c r="AX12" s="45"/>
      <c r="AY12" s="45"/>
      <c r="AZ12" s="7"/>
      <c r="BA12" s="70"/>
      <c r="BB12" s="70"/>
      <c r="BC12" s="70"/>
      <c r="BD12" s="70"/>
      <c r="BE12" s="70"/>
    </row>
    <row r="13" spans="2:57" ht="12.75">
      <c r="B13" s="16" t="s">
        <v>80</v>
      </c>
      <c r="C13" s="16"/>
      <c r="D13" s="16" t="s">
        <v>130</v>
      </c>
      <c r="E13" s="40" t="s">
        <v>28</v>
      </c>
      <c r="F13" s="96">
        <f>60*F$9/1000000</f>
        <v>185.04</v>
      </c>
      <c r="G13" s="98" t="s">
        <v>28</v>
      </c>
      <c r="H13" s="96">
        <f>60*H$9/1000000</f>
        <v>136.08</v>
      </c>
      <c r="I13" s="98" t="s">
        <v>28</v>
      </c>
      <c r="J13" s="96">
        <f>60*J$9/1000000</f>
        <v>538.86</v>
      </c>
      <c r="K13" s="96"/>
      <c r="L13" s="96"/>
      <c r="M13" s="96"/>
      <c r="N13" s="96">
        <f>5.4*N$9/1000000</f>
        <v>517.104</v>
      </c>
      <c r="O13" s="96"/>
      <c r="P13" s="96">
        <f>4.7*P$9/1000000</f>
        <v>445.56</v>
      </c>
      <c r="Q13" s="96"/>
      <c r="R13" s="96">
        <f>6.5*R$9/1000000</f>
        <v>629.72</v>
      </c>
      <c r="S13" s="72"/>
      <c r="T13" s="72"/>
      <c r="U13" s="72"/>
      <c r="V13" s="97">
        <f>6.3*V$9/1000000</f>
        <v>60.0768</v>
      </c>
      <c r="W13" s="97"/>
      <c r="X13" s="97">
        <f>6*X$9/1000000</f>
        <v>58.686</v>
      </c>
      <c r="Y13" s="97"/>
      <c r="Z13" s="97">
        <f>25*Z$9/1000000</f>
        <v>233.1</v>
      </c>
      <c r="AA13" s="41"/>
      <c r="AB13" s="72"/>
      <c r="AC13" s="72"/>
      <c r="AD13" s="94"/>
      <c r="AE13" s="94"/>
      <c r="AF13" s="94"/>
      <c r="AG13" s="94"/>
      <c r="AH13" s="94"/>
      <c r="AI13" s="94"/>
      <c r="AJ13" s="93"/>
      <c r="AK13" s="74"/>
      <c r="AL13" s="7">
        <f>30/1000000*AL$9</f>
        <v>11.757</v>
      </c>
      <c r="AM13" s="7"/>
      <c r="AN13" s="7">
        <f>19/1000000*AN$9</f>
        <v>5.1566</v>
      </c>
      <c r="AO13" s="7"/>
      <c r="AP13" s="7">
        <f>18/1000000*AP$9</f>
        <v>5.0706</v>
      </c>
      <c r="AQ13" s="10"/>
      <c r="AR13" s="45"/>
      <c r="AS13" s="45"/>
      <c r="AT13" s="45"/>
      <c r="AU13" s="45"/>
      <c r="AV13" s="45"/>
      <c r="AW13" s="45"/>
      <c r="AX13" s="45"/>
      <c r="AY13" s="45"/>
      <c r="AZ13" s="7"/>
      <c r="BA13" s="70"/>
      <c r="BB13" s="70"/>
      <c r="BC13" s="70"/>
      <c r="BD13" s="70"/>
      <c r="BE13" s="70"/>
    </row>
    <row r="14" spans="2:57" ht="12.75">
      <c r="B14" s="16" t="s">
        <v>81</v>
      </c>
      <c r="C14" s="16"/>
      <c r="D14" s="16" t="s">
        <v>130</v>
      </c>
      <c r="E14" s="40"/>
      <c r="F14" s="96">
        <f>11.8*F$9/1000000</f>
        <v>36.3912</v>
      </c>
      <c r="G14" s="98"/>
      <c r="H14" s="96">
        <f>36*H$9/1000000</f>
        <v>81.648</v>
      </c>
      <c r="I14" s="98"/>
      <c r="J14" s="96">
        <f>21.2*J$9/1000000</f>
        <v>190.3972</v>
      </c>
      <c r="K14" s="96"/>
      <c r="L14" s="96"/>
      <c r="M14" s="96"/>
      <c r="N14" s="96">
        <f>1.8*N$9/1000000</f>
        <v>172.368</v>
      </c>
      <c r="O14" s="96"/>
      <c r="P14" s="96">
        <f>2.2*P$9/1000000</f>
        <v>208.56000000000003</v>
      </c>
      <c r="Q14" s="96"/>
      <c r="R14" s="96">
        <f>2.3*R$9/1000000</f>
        <v>222.82399999999998</v>
      </c>
      <c r="S14" s="72"/>
      <c r="T14" s="72"/>
      <c r="U14" s="72"/>
      <c r="V14" s="97">
        <f>13.6*V$9/1000000</f>
        <v>129.6896</v>
      </c>
      <c r="W14" s="97"/>
      <c r="X14" s="97">
        <f>13.4*X$9/1000000</f>
        <v>131.0654</v>
      </c>
      <c r="Y14" s="97"/>
      <c r="Z14" s="97">
        <f>8.5*Z$9/1000000</f>
        <v>79.254</v>
      </c>
      <c r="AA14" s="41"/>
      <c r="AB14" s="72"/>
      <c r="AC14" s="72"/>
      <c r="AD14" s="94"/>
      <c r="AE14" s="94"/>
      <c r="AF14" s="94"/>
      <c r="AG14" s="94"/>
      <c r="AH14" s="94"/>
      <c r="AI14" s="94"/>
      <c r="AJ14" s="93"/>
      <c r="AK14" s="74" t="s">
        <v>28</v>
      </c>
      <c r="AL14" s="7">
        <f>1/1000000*AL$9</f>
        <v>0.39189999999999997</v>
      </c>
      <c r="AM14" s="7"/>
      <c r="AN14" s="7">
        <f>4/1000000*AN$9</f>
        <v>1.0856</v>
      </c>
      <c r="AO14" s="41" t="s">
        <v>28</v>
      </c>
      <c r="AP14" s="7">
        <f>1/1000000*AP$9</f>
        <v>0.2817</v>
      </c>
      <c r="AQ14" s="10"/>
      <c r="AR14" s="45"/>
      <c r="AS14" s="45"/>
      <c r="AT14" s="45"/>
      <c r="AU14" s="45"/>
      <c r="AV14" s="45"/>
      <c r="AW14" s="45"/>
      <c r="AX14" s="45"/>
      <c r="AY14" s="45"/>
      <c r="AZ14" s="7"/>
      <c r="BA14" s="70"/>
      <c r="BB14" s="70"/>
      <c r="BC14" s="70"/>
      <c r="BD14" s="70"/>
      <c r="BE14" s="70"/>
    </row>
    <row r="15" spans="2:57" ht="12.75">
      <c r="B15" s="16" t="s">
        <v>82</v>
      </c>
      <c r="C15" s="16"/>
      <c r="D15" s="16" t="s">
        <v>130</v>
      </c>
      <c r="E15" s="40"/>
      <c r="F15" s="96">
        <f>25.1*F$9/1000000</f>
        <v>77.4084</v>
      </c>
      <c r="G15" s="98"/>
      <c r="H15" s="96">
        <f>20.5*H$9/1000000</f>
        <v>46.494</v>
      </c>
      <c r="I15" s="98"/>
      <c r="J15" s="96">
        <f>27.4*J$9/1000000</f>
        <v>246.0794</v>
      </c>
      <c r="K15" s="96"/>
      <c r="L15" s="96"/>
      <c r="M15" s="96"/>
      <c r="N15" s="96">
        <f>77.9*N$9/1000000</f>
        <v>7459.704000000001</v>
      </c>
      <c r="O15" s="96"/>
      <c r="P15" s="96">
        <f>77.6*P$9/1000000</f>
        <v>7356.479999999999</v>
      </c>
      <c r="Q15" s="96"/>
      <c r="R15" s="96">
        <f>76.1*R$9/1000000</f>
        <v>7372.567999999999</v>
      </c>
      <c r="S15" s="72"/>
      <c r="T15" s="72"/>
      <c r="U15" s="72"/>
      <c r="V15" s="97">
        <f>588*V$9/1000000</f>
        <v>5607.168</v>
      </c>
      <c r="W15" s="97"/>
      <c r="X15" s="97">
        <f>617*X$9/1000000</f>
        <v>6034.877</v>
      </c>
      <c r="Y15" s="97"/>
      <c r="Z15" s="97">
        <f>772*Z$9/1000000</f>
        <v>7198.128</v>
      </c>
      <c r="AA15" s="41"/>
      <c r="AB15" s="72"/>
      <c r="AC15" s="72"/>
      <c r="AD15" s="94"/>
      <c r="AE15" s="94"/>
      <c r="AF15" s="94"/>
      <c r="AG15" s="94"/>
      <c r="AH15" s="94"/>
      <c r="AI15" s="94"/>
      <c r="AJ15" s="93"/>
      <c r="AK15" s="74"/>
      <c r="AL15" s="7">
        <f>7/1000000*AL$9</f>
        <v>2.7433</v>
      </c>
      <c r="AM15" s="7"/>
      <c r="AN15" s="7">
        <f>4/1000000*AN$9</f>
        <v>1.0856</v>
      </c>
      <c r="AO15" s="41"/>
      <c r="AP15" s="7">
        <f>4/1000000*AP$9</f>
        <v>1.1268</v>
      </c>
      <c r="AQ15" s="10"/>
      <c r="AR15" s="45"/>
      <c r="AS15" s="45"/>
      <c r="AT15" s="45"/>
      <c r="AU15" s="45"/>
      <c r="AV15" s="45"/>
      <c r="AW15" s="45"/>
      <c r="AX15" s="45"/>
      <c r="AY15" s="45"/>
      <c r="AZ15" s="7"/>
      <c r="BA15" s="70"/>
      <c r="BB15" s="70"/>
      <c r="BC15" s="70"/>
      <c r="BD15" s="70"/>
      <c r="BE15" s="70"/>
    </row>
    <row r="16" spans="2:57" ht="12.75">
      <c r="B16" s="16" t="s">
        <v>83</v>
      </c>
      <c r="C16" s="16"/>
      <c r="D16" s="16" t="s">
        <v>130</v>
      </c>
      <c r="E16" s="40" t="s">
        <v>28</v>
      </c>
      <c r="F16" s="96">
        <f>5*F$9/1000000</f>
        <v>15.42</v>
      </c>
      <c r="G16" s="98" t="s">
        <v>28</v>
      </c>
      <c r="H16" s="96">
        <f>5*H$9/1000000</f>
        <v>11.34</v>
      </c>
      <c r="I16" s="98" t="s">
        <v>28</v>
      </c>
      <c r="J16" s="96">
        <f>1.2*J$9/1000000</f>
        <v>10.7772</v>
      </c>
      <c r="K16" s="96"/>
      <c r="L16" s="96"/>
      <c r="M16" s="96" t="s">
        <v>28</v>
      </c>
      <c r="N16" s="96">
        <f aca="true" t="shared" si="0" ref="N16:R17">1*N$9/1000000</f>
        <v>95.76</v>
      </c>
      <c r="O16" s="96" t="s">
        <v>28</v>
      </c>
      <c r="P16" s="96">
        <f t="shared" si="0"/>
        <v>94.8</v>
      </c>
      <c r="Q16" s="96" t="s">
        <v>28</v>
      </c>
      <c r="R16" s="96">
        <f t="shared" si="0"/>
        <v>96.88</v>
      </c>
      <c r="S16" s="72"/>
      <c r="T16" s="72"/>
      <c r="U16" s="72" t="s">
        <v>28</v>
      </c>
      <c r="V16" s="97">
        <f>0.5*V$9/1000000</f>
        <v>4.768</v>
      </c>
      <c r="W16" s="96" t="s">
        <v>28</v>
      </c>
      <c r="X16" s="97">
        <f>0.5*X$9/1000000</f>
        <v>4.8905</v>
      </c>
      <c r="Y16" s="96" t="s">
        <v>28</v>
      </c>
      <c r="Z16" s="97">
        <f>0.5*Z$9/1000000</f>
        <v>4.662</v>
      </c>
      <c r="AA16" s="41"/>
      <c r="AB16" s="72"/>
      <c r="AC16" s="72"/>
      <c r="AD16" s="94"/>
      <c r="AE16" s="94"/>
      <c r="AF16" s="94"/>
      <c r="AG16" s="94"/>
      <c r="AH16" s="94"/>
      <c r="AI16" s="94"/>
      <c r="AJ16" s="93"/>
      <c r="AK16" s="74" t="s">
        <v>28</v>
      </c>
      <c r="AL16" s="7">
        <f aca="true" t="shared" si="1" ref="AL16:AP18">1/1000000*AL$9</f>
        <v>0.39189999999999997</v>
      </c>
      <c r="AM16" s="41" t="s">
        <v>28</v>
      </c>
      <c r="AN16" s="7">
        <f t="shared" si="1"/>
        <v>0.2714</v>
      </c>
      <c r="AO16" s="41" t="s">
        <v>28</v>
      </c>
      <c r="AP16" s="7">
        <f t="shared" si="1"/>
        <v>0.2817</v>
      </c>
      <c r="AQ16" s="10"/>
      <c r="AR16" s="45"/>
      <c r="AS16" s="45"/>
      <c r="AT16" s="45"/>
      <c r="AU16" s="45"/>
      <c r="AV16" s="45"/>
      <c r="AW16" s="45"/>
      <c r="AX16" s="45"/>
      <c r="AY16" s="45"/>
      <c r="AZ16" s="7"/>
      <c r="BA16" s="70"/>
      <c r="BB16" s="70"/>
      <c r="BC16" s="70"/>
      <c r="BD16" s="70"/>
      <c r="BE16" s="70"/>
    </row>
    <row r="17" spans="2:57" ht="12.75">
      <c r="B17" s="16" t="s">
        <v>84</v>
      </c>
      <c r="C17" s="16"/>
      <c r="D17" s="16" t="s">
        <v>130</v>
      </c>
      <c r="E17" s="40" t="s">
        <v>28</v>
      </c>
      <c r="F17" s="96">
        <f>5*F$9/1000000</f>
        <v>15.42</v>
      </c>
      <c r="G17" s="98" t="s">
        <v>28</v>
      </c>
      <c r="H17" s="96">
        <f>5*H$9/1000000</f>
        <v>11.34</v>
      </c>
      <c r="I17" s="98" t="s">
        <v>28</v>
      </c>
      <c r="J17" s="96">
        <f>5*J$9/1000000</f>
        <v>44.905</v>
      </c>
      <c r="K17" s="96"/>
      <c r="L17" s="96"/>
      <c r="M17" s="96" t="s">
        <v>28</v>
      </c>
      <c r="N17" s="96">
        <f t="shared" si="0"/>
        <v>95.76</v>
      </c>
      <c r="O17" s="96" t="s">
        <v>28</v>
      </c>
      <c r="P17" s="96">
        <f t="shared" si="0"/>
        <v>94.8</v>
      </c>
      <c r="Q17" s="96" t="s">
        <v>28</v>
      </c>
      <c r="R17" s="96">
        <f t="shared" si="0"/>
        <v>96.88</v>
      </c>
      <c r="S17" s="72"/>
      <c r="T17" s="72"/>
      <c r="U17" s="72"/>
      <c r="V17" s="97">
        <f>2*V$9/1000000</f>
        <v>19.072</v>
      </c>
      <c r="W17" s="97"/>
      <c r="X17" s="97">
        <f>2.1*X$9/1000000</f>
        <v>20.5401</v>
      </c>
      <c r="Y17" s="97"/>
      <c r="Z17" s="97">
        <f>2.2*Z$9/1000000</f>
        <v>20.5128</v>
      </c>
      <c r="AA17" s="41"/>
      <c r="AB17" s="72"/>
      <c r="AC17" s="72"/>
      <c r="AD17" s="94"/>
      <c r="AE17" s="94"/>
      <c r="AF17" s="94"/>
      <c r="AG17" s="94"/>
      <c r="AH17" s="94"/>
      <c r="AI17" s="94"/>
      <c r="AJ17" s="93"/>
      <c r="AK17" s="74" t="s">
        <v>28</v>
      </c>
      <c r="AL17" s="7">
        <f t="shared" si="1"/>
        <v>0.39189999999999997</v>
      </c>
      <c r="AM17" s="41" t="s">
        <v>28</v>
      </c>
      <c r="AN17" s="7">
        <f t="shared" si="1"/>
        <v>0.2714</v>
      </c>
      <c r="AO17" s="41" t="s">
        <v>28</v>
      </c>
      <c r="AP17" s="7">
        <f t="shared" si="1"/>
        <v>0.2817</v>
      </c>
      <c r="AQ17" s="10"/>
      <c r="AR17" s="45"/>
      <c r="AS17" s="45"/>
      <c r="AT17" s="45"/>
      <c r="AU17" s="45"/>
      <c r="AV17" s="45"/>
      <c r="AW17" s="45"/>
      <c r="AX17" s="45"/>
      <c r="AY17" s="45"/>
      <c r="AZ17" s="7"/>
      <c r="BA17" s="70"/>
      <c r="BB17" s="70"/>
      <c r="BC17" s="70"/>
      <c r="BD17" s="70"/>
      <c r="BE17" s="70"/>
    </row>
    <row r="18" spans="2:57" ht="12.75">
      <c r="B18" s="16" t="s">
        <v>113</v>
      </c>
      <c r="C18" s="16"/>
      <c r="D18" s="16" t="s">
        <v>130</v>
      </c>
      <c r="E18" s="40"/>
      <c r="F18" s="96">
        <f>10*F$9/1000000</f>
        <v>30.84</v>
      </c>
      <c r="G18" s="98"/>
      <c r="H18" s="96">
        <f>9.7*H$9/1000000</f>
        <v>21.9996</v>
      </c>
      <c r="I18" s="98"/>
      <c r="J18" s="96">
        <f>10.5*J$9/1000000</f>
        <v>94.3005</v>
      </c>
      <c r="K18" s="96"/>
      <c r="L18" s="96"/>
      <c r="M18" s="96"/>
      <c r="N18" s="96">
        <f>13.2*N$9/1000000</f>
        <v>1264.032</v>
      </c>
      <c r="O18" s="96"/>
      <c r="P18" s="96">
        <f>13.8*P$9/1000000</f>
        <v>1308.24</v>
      </c>
      <c r="Q18" s="96"/>
      <c r="R18" s="96">
        <f>13.7*R$9/1000000</f>
        <v>1327.256</v>
      </c>
      <c r="S18" s="72"/>
      <c r="T18" s="72"/>
      <c r="U18" s="72"/>
      <c r="V18" s="97">
        <f>76.4*V$9/1000000</f>
        <v>728.5504</v>
      </c>
      <c r="W18" s="97"/>
      <c r="X18" s="97">
        <f>70.3*X$9/1000000</f>
        <v>687.6043</v>
      </c>
      <c r="Y18" s="97"/>
      <c r="Z18" s="97">
        <f>65.3*Z$9/1000000</f>
        <v>608.8572</v>
      </c>
      <c r="AA18" s="41"/>
      <c r="AB18" s="72"/>
      <c r="AC18" s="72"/>
      <c r="AD18" s="94">
        <f>28.41*454</f>
        <v>12898.14</v>
      </c>
      <c r="AE18" s="94"/>
      <c r="AF18" s="94">
        <f>28.4*454</f>
        <v>12893.599999999999</v>
      </c>
      <c r="AG18" s="94"/>
      <c r="AH18" s="94">
        <f>28.55*454</f>
        <v>12961.7</v>
      </c>
      <c r="AI18" s="94"/>
      <c r="AJ18" s="95">
        <f>AVERAGE(AH18,AF18,AD18)</f>
        <v>12917.813333333334</v>
      </c>
      <c r="AK18" s="52" t="s">
        <v>28</v>
      </c>
      <c r="AL18" s="7">
        <f t="shared" si="1"/>
        <v>0.39189999999999997</v>
      </c>
      <c r="AM18" s="45" t="s">
        <v>28</v>
      </c>
      <c r="AN18" s="7">
        <f t="shared" si="1"/>
        <v>0.2714</v>
      </c>
      <c r="AO18" s="45" t="s">
        <v>28</v>
      </c>
      <c r="AP18" s="7">
        <f t="shared" si="1"/>
        <v>0.2817</v>
      </c>
      <c r="AQ18" s="10"/>
      <c r="AR18" s="45"/>
      <c r="AS18" s="45"/>
      <c r="AT18" s="45"/>
      <c r="AU18" s="45"/>
      <c r="AV18" s="45"/>
      <c r="AW18" s="45"/>
      <c r="AX18" s="45"/>
      <c r="AY18" s="45"/>
      <c r="AZ18" s="7"/>
      <c r="BA18" s="70"/>
      <c r="BB18" s="70"/>
      <c r="BC18" s="70"/>
      <c r="BD18" s="70"/>
      <c r="BE18" s="70"/>
    </row>
    <row r="19" spans="2:57" ht="12.75">
      <c r="B19" s="16" t="s">
        <v>79</v>
      </c>
      <c r="C19" s="16"/>
      <c r="D19" s="16" t="s">
        <v>130</v>
      </c>
      <c r="E19" s="40"/>
      <c r="F19" s="96">
        <f>5*F$9/1000000</f>
        <v>15.42</v>
      </c>
      <c r="G19" s="98"/>
      <c r="H19" s="96">
        <f>7.4*H$9/1000000</f>
        <v>16.7832</v>
      </c>
      <c r="I19" s="98"/>
      <c r="J19" s="96">
        <f>7.5*J$9/1000000</f>
        <v>67.3575</v>
      </c>
      <c r="K19" s="96"/>
      <c r="L19" s="96"/>
      <c r="M19" s="96"/>
      <c r="N19" s="96">
        <f>2.2*N$9/1000000</f>
        <v>210.67200000000003</v>
      </c>
      <c r="O19" s="96"/>
      <c r="P19" s="96">
        <f>1.8*P$9/1000000</f>
        <v>170.64</v>
      </c>
      <c r="Q19" s="96"/>
      <c r="R19" s="96">
        <f>1.8*R$9/1000000</f>
        <v>174.384</v>
      </c>
      <c r="S19" s="72"/>
      <c r="T19" s="72"/>
      <c r="U19" s="72"/>
      <c r="V19" s="97">
        <f>120*V$9/1000000</f>
        <v>1144.32</v>
      </c>
      <c r="W19" s="97"/>
      <c r="X19" s="97">
        <f>110*X$9/1000000</f>
        <v>1075.91</v>
      </c>
      <c r="Y19" s="97"/>
      <c r="Z19" s="97">
        <f>150*Z$9/1000000</f>
        <v>1398.6</v>
      </c>
      <c r="AA19" s="41"/>
      <c r="AB19" s="72"/>
      <c r="AC19" s="72"/>
      <c r="AD19" s="94">
        <f>43.81*454</f>
        <v>19889.74</v>
      </c>
      <c r="AE19" s="94"/>
      <c r="AF19" s="94">
        <f>43.53*454</f>
        <v>19762.62</v>
      </c>
      <c r="AG19" s="94"/>
      <c r="AH19" s="94">
        <f>44.63*454</f>
        <v>20262.02</v>
      </c>
      <c r="AI19" s="94"/>
      <c r="AJ19" s="95">
        <f>AVERAGE(AH19,AF19,AD19)</f>
        <v>19971.460000000003</v>
      </c>
      <c r="AK19" s="52"/>
      <c r="AL19" s="7">
        <f>53/1000000*AL$9</f>
        <v>20.7707</v>
      </c>
      <c r="AM19" s="45"/>
      <c r="AN19" s="7">
        <f>80/1000000*AN$9</f>
        <v>21.712000000000003</v>
      </c>
      <c r="AO19" s="45"/>
      <c r="AP19" s="7">
        <f>22/1000000*AP$9</f>
        <v>6.1974</v>
      </c>
      <c r="AQ19" s="10"/>
      <c r="AR19" s="45"/>
      <c r="AS19" s="45"/>
      <c r="AT19" s="45"/>
      <c r="AU19" s="45"/>
      <c r="AV19" s="45"/>
      <c r="AW19" s="45"/>
      <c r="AX19" s="45"/>
      <c r="AY19" s="45"/>
      <c r="AZ19" s="7"/>
      <c r="BA19" s="70"/>
      <c r="BB19" s="70"/>
      <c r="BC19" s="70"/>
      <c r="BD19" s="70"/>
      <c r="BE19" s="70"/>
    </row>
    <row r="20" spans="2:57" ht="12.75">
      <c r="B20" s="16" t="s">
        <v>85</v>
      </c>
      <c r="C20" s="16"/>
      <c r="D20" s="16" t="s">
        <v>130</v>
      </c>
      <c r="E20" s="40"/>
      <c r="F20" s="96">
        <f>0.11*F$9/1000000</f>
        <v>0.33924</v>
      </c>
      <c r="G20" s="98"/>
      <c r="H20" s="96">
        <f>0.61*H$9/1000000</f>
        <v>1.38348</v>
      </c>
      <c r="I20" s="98"/>
      <c r="J20" s="96">
        <f>0.1*J$9/1000000</f>
        <v>0.8981</v>
      </c>
      <c r="K20" s="96"/>
      <c r="L20" s="96"/>
      <c r="M20" s="96"/>
      <c r="N20" s="96">
        <f>0.0069*N$9/1000000</f>
        <v>0.660744</v>
      </c>
      <c r="O20" s="96"/>
      <c r="P20" s="96">
        <f>0.0085*P$9/1000000</f>
        <v>0.8058</v>
      </c>
      <c r="Q20" s="96"/>
      <c r="R20" s="96">
        <f>0.01*R$9/1000000</f>
        <v>0.9688</v>
      </c>
      <c r="S20" s="72"/>
      <c r="T20" s="72"/>
      <c r="U20" s="72"/>
      <c r="V20" s="97">
        <f>0.11*V$9/1000000</f>
        <v>1.04896</v>
      </c>
      <c r="W20" s="97"/>
      <c r="X20" s="97">
        <f>0.13*X$9/1000000</f>
        <v>1.27153</v>
      </c>
      <c r="Y20" s="97"/>
      <c r="Z20" s="97">
        <f>0.47*Z$9/1000000</f>
        <v>4.38228</v>
      </c>
      <c r="AA20" s="41"/>
      <c r="AB20" s="72"/>
      <c r="AC20" s="72"/>
      <c r="AK20" s="74" t="s">
        <v>28</v>
      </c>
      <c r="AL20" s="7">
        <f>0.01/1000000*AL$9</f>
        <v>0.003919</v>
      </c>
      <c r="AM20" s="41" t="s">
        <v>28</v>
      </c>
      <c r="AN20" s="7">
        <f>0.01/1000000*AN$9</f>
        <v>0.0027140000000000003</v>
      </c>
      <c r="AO20" s="41" t="s">
        <v>28</v>
      </c>
      <c r="AP20" s="7">
        <f>0.01/1000000*AP$9</f>
        <v>0.002817</v>
      </c>
      <c r="AQ20" s="10"/>
      <c r="AR20" s="45"/>
      <c r="AS20" s="45"/>
      <c r="AT20" s="45"/>
      <c r="AU20" s="45"/>
      <c r="AV20" s="45"/>
      <c r="AW20" s="45"/>
      <c r="AX20" s="45"/>
      <c r="AY20" s="45"/>
      <c r="AZ20" s="7"/>
      <c r="BA20" s="70"/>
      <c r="BB20" s="70"/>
      <c r="BC20" s="70"/>
      <c r="BD20" s="70"/>
      <c r="BE20" s="70"/>
    </row>
    <row r="21" spans="2:57" ht="12.75">
      <c r="B21" s="16" t="s">
        <v>88</v>
      </c>
      <c r="C21" s="16"/>
      <c r="D21" s="16" t="s">
        <v>130</v>
      </c>
      <c r="E21" s="40" t="s">
        <v>28</v>
      </c>
      <c r="F21" s="96">
        <f aca="true" t="shared" si="2" ref="F21:J22">10*F$9/1000000</f>
        <v>30.84</v>
      </c>
      <c r="G21" s="98" t="s">
        <v>28</v>
      </c>
      <c r="H21" s="96">
        <f t="shared" si="2"/>
        <v>22.68</v>
      </c>
      <c r="I21" s="98" t="s">
        <v>28</v>
      </c>
      <c r="J21" s="96">
        <f t="shared" si="2"/>
        <v>89.81</v>
      </c>
      <c r="K21" s="96"/>
      <c r="L21" s="96"/>
      <c r="M21" s="96"/>
      <c r="N21" s="96">
        <f>2*N$9/1000000</f>
        <v>191.52</v>
      </c>
      <c r="O21" s="96" t="s">
        <v>28</v>
      </c>
      <c r="P21" s="96">
        <f>2*P$9/1000000</f>
        <v>189.6</v>
      </c>
      <c r="Q21" s="96" t="s">
        <v>28</v>
      </c>
      <c r="R21" s="96">
        <f>2*R$9/1000000</f>
        <v>193.76</v>
      </c>
      <c r="S21" s="72"/>
      <c r="T21" s="72"/>
      <c r="U21" s="72"/>
      <c r="V21" s="97">
        <f>1.6*V$9/1000000</f>
        <v>15.2576</v>
      </c>
      <c r="W21" s="97"/>
      <c r="X21" s="97">
        <f>1.7*X$9/1000000</f>
        <v>16.6277</v>
      </c>
      <c r="Y21" s="97"/>
      <c r="Z21" s="97">
        <f>1.7*Z$9/1000000</f>
        <v>15.8508</v>
      </c>
      <c r="AA21" s="41"/>
      <c r="AB21" s="72"/>
      <c r="AC21" s="72"/>
      <c r="AK21" s="34" t="s">
        <v>28</v>
      </c>
      <c r="AL21" s="7">
        <f aca="true" t="shared" si="3" ref="AL21:AP22">1/1000000*AL$9</f>
        <v>0.39189999999999997</v>
      </c>
      <c r="AM21" s="31" t="s">
        <v>28</v>
      </c>
      <c r="AN21" s="7">
        <f t="shared" si="3"/>
        <v>0.2714</v>
      </c>
      <c r="AO21" s="31" t="s">
        <v>28</v>
      </c>
      <c r="AP21" s="7">
        <f t="shared" si="3"/>
        <v>0.2817</v>
      </c>
      <c r="AQ21" s="10"/>
      <c r="AR21" s="45"/>
      <c r="AS21" s="45"/>
      <c r="AT21" s="45"/>
      <c r="AU21" s="45"/>
      <c r="AV21" s="45"/>
      <c r="AW21" s="45"/>
      <c r="AX21" s="45"/>
      <c r="AY21" s="45"/>
      <c r="AZ21" s="7"/>
      <c r="BA21" s="70"/>
      <c r="BB21" s="70"/>
      <c r="BC21" s="70"/>
      <c r="BD21" s="70"/>
      <c r="BE21" s="70"/>
    </row>
    <row r="22" spans="2:57" ht="12.75">
      <c r="B22" s="16" t="s">
        <v>89</v>
      </c>
      <c r="C22" s="16"/>
      <c r="D22" s="16" t="s">
        <v>130</v>
      </c>
      <c r="E22" s="40" t="s">
        <v>28</v>
      </c>
      <c r="F22" s="96">
        <f t="shared" si="2"/>
        <v>30.84</v>
      </c>
      <c r="G22" s="98" t="s">
        <v>28</v>
      </c>
      <c r="H22" s="96">
        <f t="shared" si="2"/>
        <v>22.68</v>
      </c>
      <c r="I22" s="98" t="s">
        <v>28</v>
      </c>
      <c r="J22" s="96">
        <f t="shared" si="2"/>
        <v>89.81</v>
      </c>
      <c r="K22" s="96"/>
      <c r="L22" s="96"/>
      <c r="M22" s="96" t="s">
        <v>28</v>
      </c>
      <c r="N22" s="96">
        <f>4*N$9/1000000</f>
        <v>383.04</v>
      </c>
      <c r="O22" s="96"/>
      <c r="P22" s="96">
        <f>1.1*P$9/1000000</f>
        <v>104.28000000000002</v>
      </c>
      <c r="Q22" s="96"/>
      <c r="R22" s="96">
        <f>0.43*R$9/1000000</f>
        <v>41.6584</v>
      </c>
      <c r="S22" s="72"/>
      <c r="T22" s="72"/>
      <c r="U22" s="72"/>
      <c r="V22" s="97">
        <f>5*V$9/1000000</f>
        <v>47.68</v>
      </c>
      <c r="W22" s="96" t="s">
        <v>28</v>
      </c>
      <c r="X22" s="97">
        <f>5*X$9/1000000</f>
        <v>48.905</v>
      </c>
      <c r="Y22" s="96" t="s">
        <v>28</v>
      </c>
      <c r="Z22" s="97">
        <f>5*Z$9/1000000</f>
        <v>46.62</v>
      </c>
      <c r="AA22" s="41"/>
      <c r="AB22" s="72"/>
      <c r="AC22" s="72"/>
      <c r="AK22" s="34" t="s">
        <v>28</v>
      </c>
      <c r="AL22" s="7">
        <f t="shared" si="3"/>
        <v>0.39189999999999997</v>
      </c>
      <c r="AM22" s="31" t="s">
        <v>28</v>
      </c>
      <c r="AN22" s="7">
        <f t="shared" si="3"/>
        <v>0.2714</v>
      </c>
      <c r="AO22" s="31" t="s">
        <v>28</v>
      </c>
      <c r="AP22" s="7">
        <f t="shared" si="3"/>
        <v>0.2817</v>
      </c>
      <c r="AQ22" s="10"/>
      <c r="AR22" s="45"/>
      <c r="AS22" s="45"/>
      <c r="AT22" s="45"/>
      <c r="AU22" s="45"/>
      <c r="AV22" s="45"/>
      <c r="AW22" s="45"/>
      <c r="AX22" s="45"/>
      <c r="AY22" s="45"/>
      <c r="AZ22" s="7"/>
      <c r="BA22" s="70"/>
      <c r="BB22" s="70"/>
      <c r="BC22" s="70"/>
      <c r="BD22" s="70"/>
      <c r="BE22" s="70"/>
    </row>
    <row r="23" spans="2:25" ht="12.75">
      <c r="B23" s="16"/>
      <c r="C23" s="16"/>
      <c r="D23" s="16"/>
      <c r="E23" s="40"/>
      <c r="F23"/>
      <c r="G23"/>
      <c r="H23"/>
      <c r="I23"/>
      <c r="J23"/>
      <c r="K23"/>
      <c r="L23"/>
      <c r="M23"/>
      <c r="N23"/>
      <c r="O23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2:45" ht="12.75">
      <c r="B24" s="16" t="s">
        <v>59</v>
      </c>
      <c r="C24" s="16"/>
      <c r="D24" s="16" t="s">
        <v>16</v>
      </c>
      <c r="E24" s="40"/>
      <c r="F24">
        <f>'emiss 1'!$G$38</f>
        <v>86507</v>
      </c>
      <c r="G24"/>
      <c r="H24">
        <f>'emiss 1'!$I$38</f>
        <v>88023</v>
      </c>
      <c r="I24"/>
      <c r="J24">
        <f>'emiss 1'!$K$38</f>
        <v>87816</v>
      </c>
      <c r="K24"/>
      <c r="L24" s="75">
        <f>'emiss 1'!$M$38</f>
        <v>87448.66666666667</v>
      </c>
      <c r="M24" s="75"/>
      <c r="N24">
        <f>'emiss 1'!$G$38</f>
        <v>86507</v>
      </c>
      <c r="O24"/>
      <c r="P24">
        <f>'emiss 1'!$I$38</f>
        <v>88023</v>
      </c>
      <c r="Q24"/>
      <c r="R24">
        <f>'emiss 1'!$K$38</f>
        <v>87816</v>
      </c>
      <c r="S24"/>
      <c r="T24" s="75">
        <f>'emiss 1'!$M$38</f>
        <v>87448.66666666667</v>
      </c>
      <c r="U24" s="75"/>
      <c r="V24">
        <f>'emiss 1'!$G$38</f>
        <v>86507</v>
      </c>
      <c r="W24"/>
      <c r="X24">
        <f>'emiss 1'!$I$38</f>
        <v>88023</v>
      </c>
      <c r="Y24"/>
      <c r="Z24">
        <f>'emiss 1'!$K$38</f>
        <v>87816</v>
      </c>
      <c r="AA24"/>
      <c r="AB24" s="75">
        <f>'emiss 1'!$M$38</f>
        <v>87448.66666666667</v>
      </c>
      <c r="AC24" s="75"/>
      <c r="AD24">
        <f>'emiss 1'!$G$38</f>
        <v>86507</v>
      </c>
      <c r="AE24"/>
      <c r="AF24">
        <f>'emiss 1'!$I$38</f>
        <v>88023</v>
      </c>
      <c r="AG24"/>
      <c r="AH24">
        <f>'emiss 1'!$K$38</f>
        <v>87816</v>
      </c>
      <c r="AI24"/>
      <c r="AJ24" s="75">
        <f>'emiss 1'!$M$38</f>
        <v>87448.66666666667</v>
      </c>
      <c r="AK24" s="75"/>
      <c r="AL24">
        <f>'emiss 1'!$G$38</f>
        <v>86507</v>
      </c>
      <c r="AM24"/>
      <c r="AN24">
        <f>'emiss 1'!$I$38</f>
        <v>88023</v>
      </c>
      <c r="AO24"/>
      <c r="AP24">
        <f>'emiss 1'!$K$38</f>
        <v>87816</v>
      </c>
      <c r="AQ24"/>
      <c r="AR24" s="75">
        <f>'emiss 1'!$M$38</f>
        <v>87448.66666666667</v>
      </c>
      <c r="AS24" s="75"/>
    </row>
    <row r="25" spans="2:45" ht="12.75">
      <c r="B25" s="16" t="s">
        <v>60</v>
      </c>
      <c r="C25" s="16"/>
      <c r="D25" s="16" t="s">
        <v>17</v>
      </c>
      <c r="E25" s="40"/>
      <c r="F25">
        <f>'emiss 1'!$G$39</f>
        <v>8.12</v>
      </c>
      <c r="G25"/>
      <c r="H25">
        <f>'emiss 1'!$I$39</f>
        <v>7.88</v>
      </c>
      <c r="I25"/>
      <c r="J25">
        <f>'emiss 1'!$K$39</f>
        <v>9.53</v>
      </c>
      <c r="K25"/>
      <c r="L25">
        <f>'emiss 1'!$M$39</f>
        <v>8.51</v>
      </c>
      <c r="M25"/>
      <c r="N25">
        <f>'emiss 1'!$G$39</f>
        <v>8.12</v>
      </c>
      <c r="O25"/>
      <c r="P25">
        <f>'emiss 1'!$I$39</f>
        <v>7.88</v>
      </c>
      <c r="Q25"/>
      <c r="R25">
        <f>'emiss 1'!$K$39</f>
        <v>9.53</v>
      </c>
      <c r="S25"/>
      <c r="T25">
        <f>'emiss 1'!$M$39</f>
        <v>8.51</v>
      </c>
      <c r="U25"/>
      <c r="V25">
        <f>'emiss 1'!$G$39</f>
        <v>8.12</v>
      </c>
      <c r="W25"/>
      <c r="X25">
        <f>'emiss 1'!$I$39</f>
        <v>7.88</v>
      </c>
      <c r="Y25"/>
      <c r="Z25">
        <f>'emiss 1'!$K$39</f>
        <v>9.53</v>
      </c>
      <c r="AA25"/>
      <c r="AB25">
        <f>'emiss 1'!$M$39</f>
        <v>8.51</v>
      </c>
      <c r="AC25"/>
      <c r="AD25">
        <f>'emiss 1'!$G$39</f>
        <v>8.12</v>
      </c>
      <c r="AE25"/>
      <c r="AF25">
        <f>'emiss 1'!$I$39</f>
        <v>7.88</v>
      </c>
      <c r="AG25"/>
      <c r="AH25">
        <f>'emiss 1'!$K$39</f>
        <v>9.53</v>
      </c>
      <c r="AI25"/>
      <c r="AJ25">
        <f>'emiss 1'!$M$39</f>
        <v>8.51</v>
      </c>
      <c r="AK25"/>
      <c r="AL25">
        <f>'emiss 1'!$G$39</f>
        <v>8.12</v>
      </c>
      <c r="AM25"/>
      <c r="AN25">
        <f>'emiss 1'!$I$39</f>
        <v>7.88</v>
      </c>
      <c r="AO25"/>
      <c r="AP25">
        <f>'emiss 1'!$K$39</f>
        <v>9.53</v>
      </c>
      <c r="AQ25"/>
      <c r="AR25">
        <f>'emiss 1'!$M$39</f>
        <v>8.51</v>
      </c>
      <c r="AS25"/>
    </row>
    <row r="26" spans="2:25" ht="12.75">
      <c r="B26" s="16"/>
      <c r="C26" s="16"/>
      <c r="D26" s="16"/>
      <c r="E26" s="40"/>
      <c r="F26"/>
      <c r="G26"/>
      <c r="H26"/>
      <c r="I26"/>
      <c r="J26"/>
      <c r="K26"/>
      <c r="L26"/>
      <c r="M26"/>
      <c r="N26"/>
      <c r="O26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2:25" ht="12.75">
      <c r="B27" s="57" t="s">
        <v>73</v>
      </c>
      <c r="C27" s="57"/>
      <c r="D27" s="16"/>
      <c r="E27" s="40"/>
      <c r="F27"/>
      <c r="G27"/>
      <c r="H27"/>
      <c r="I27"/>
      <c r="J27"/>
      <c r="K27"/>
      <c r="L27"/>
      <c r="M27"/>
      <c r="N27"/>
      <c r="O27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2:52" s="94" customFormat="1" ht="12.75">
      <c r="B28" s="100" t="s">
        <v>48</v>
      </c>
      <c r="C28" s="100"/>
      <c r="D28" s="100" t="s">
        <v>54</v>
      </c>
      <c r="E28" s="99"/>
      <c r="F28" s="92">
        <f aca="true" t="shared" si="4" ref="F28:J38">F12/F$24/0.0283/60*1000000*(21-7)/(21-F$25)</f>
        <v>5568.361617111103</v>
      </c>
      <c r="G28" s="92"/>
      <c r="H28" s="92">
        <f t="shared" si="4"/>
        <v>4630.9429623241895</v>
      </c>
      <c r="I28" s="92"/>
      <c r="J28" s="92">
        <f t="shared" si="4"/>
        <v>18378.835293056967</v>
      </c>
      <c r="K28" s="92"/>
      <c r="L28" s="92">
        <f>AVERAGE(F28,H28,J28)</f>
        <v>9526.046624164088</v>
      </c>
      <c r="M28" s="92"/>
      <c r="N28" s="92">
        <f aca="true" t="shared" si="5" ref="N28:N38">N12/N$24/0.0283/60*1000000*(21-7)/(21-N$25)</f>
        <v>33729.84345755596</v>
      </c>
      <c r="O28" s="92"/>
      <c r="P28" s="92">
        <f>P12/P$24/0.0283/60*1000000*(21-7)/(21-P$25)</f>
        <v>105582.8265580407</v>
      </c>
      <c r="Q28" s="92"/>
      <c r="R28" s="92">
        <f>R12/R$24/0.0283/60*1000000*(21-7)/(21-R$25)</f>
        <v>150674.93464262702</v>
      </c>
      <c r="S28" s="92"/>
      <c r="T28" s="92">
        <f>AVERAGE(N28,P28,R28)</f>
        <v>96662.53488607456</v>
      </c>
      <c r="U28" s="92"/>
      <c r="V28" s="92">
        <f aca="true" t="shared" si="6" ref="V28:V38">V12/V$24/0.0283/60*1000000*(21-7)/(21-V$25)</f>
        <v>242038.02357227975</v>
      </c>
      <c r="W28" s="92"/>
      <c r="X28" s="92">
        <f aca="true" t="shared" si="7" ref="X28:X38">X12/X$24/0.0283/60*1000000*(21-7)/(21-X$25)</f>
        <v>277226.09930892696</v>
      </c>
      <c r="Y28" s="92"/>
      <c r="Z28" s="92">
        <f aca="true" t="shared" si="8" ref="Z28:Z38">Z12/Z$24/0.0283/60*1000000*(21-7)/(21-Z$25)</f>
        <v>261024.727817314</v>
      </c>
      <c r="AA28" s="92"/>
      <c r="AB28" s="92">
        <f>AVERAGE(V28,X28,Z28)</f>
        <v>260096.28356617354</v>
      </c>
      <c r="AC28" s="92"/>
      <c r="AD28" s="92">
        <f>AD12/AD$24/0.0283/60*1000000*(21-7)/(21-AD$25)</f>
        <v>1408887.9281232315</v>
      </c>
      <c r="AE28" s="92"/>
      <c r="AF28" s="92">
        <f>AF12/AF$24/0.0283/60*1000000*(21-7)/(21-AF$25)</f>
        <v>1269640.7715255297</v>
      </c>
      <c r="AG28" s="92"/>
      <c r="AH28" s="92">
        <f>AH12/AH$24/0.0283/60*1000000*(21-7)/(21-AH$25)</f>
        <v>1342731.3077828411</v>
      </c>
      <c r="AI28" s="92"/>
      <c r="AJ28" s="92">
        <f>AJ12/AJ$24/0.0283/60*1000000*(21-7)/(21-AJ$25)</f>
        <v>1339310.9599604316</v>
      </c>
      <c r="AK28" s="92"/>
      <c r="AL28" s="92">
        <f aca="true" t="shared" si="9" ref="AL28:AL38">AL12/AL$24/0.0283/60*1000000*(21-7)/(21-AL$25)</f>
        <v>1447.1016695838584</v>
      </c>
      <c r="AM28" s="92"/>
      <c r="AN28" s="92">
        <f aca="true" t="shared" si="10" ref="AN28:AN38">AN12/AN$24/0.0283/60*1000000*(21-7)/(21-AN$25)</f>
        <v>966.8759050631745</v>
      </c>
      <c r="AO28" s="92"/>
      <c r="AP28" s="92">
        <f aca="true" t="shared" si="11" ref="AP28:AP38">AP12/AP$24/0.0283/60*1000000*(21-7)/(21-AP$25)</f>
        <v>1157.5608893580595</v>
      </c>
      <c r="AQ28" s="92"/>
      <c r="AR28" s="92">
        <f>AVERAGE(AP28,AN28,AL28)</f>
        <v>1190.5128213350308</v>
      </c>
      <c r="AS28" s="92"/>
      <c r="AT28" s="94">
        <f aca="true" t="shared" si="12" ref="AT28:AT38">AL28+AD28+V28+N28+F28</f>
        <v>1691671.2584397623</v>
      </c>
      <c r="AU28" s="92"/>
      <c r="AV28" s="94">
        <f aca="true" t="shared" si="13" ref="AV28:AV38">AN28+AF28+X28+P28+H28</f>
        <v>1658047.5162598847</v>
      </c>
      <c r="AW28" s="92"/>
      <c r="AX28" s="94">
        <f aca="true" t="shared" si="14" ref="AX28:AX38">AP28+AH28+Z28+R28+J28</f>
        <v>1773967.366425197</v>
      </c>
      <c r="AY28" s="92"/>
      <c r="AZ28" s="94">
        <f aca="true" t="shared" si="15" ref="AZ28:AZ35">AR28+AJ28+AB28+T28+L28</f>
        <v>1706786.337858179</v>
      </c>
    </row>
    <row r="29" spans="2:52" ht="12.75">
      <c r="B29" s="16" t="s">
        <v>80</v>
      </c>
      <c r="C29" s="16"/>
      <c r="D29" s="16" t="s">
        <v>54</v>
      </c>
      <c r="E29" s="40">
        <v>100</v>
      </c>
      <c r="F29" s="92">
        <f t="shared" si="4"/>
        <v>1369.2692501092881</v>
      </c>
      <c r="G29" s="99">
        <v>100</v>
      </c>
      <c r="H29" s="92">
        <f t="shared" si="4"/>
        <v>971.5264955924878</v>
      </c>
      <c r="I29" s="99">
        <v>100</v>
      </c>
      <c r="J29" s="92">
        <f t="shared" si="4"/>
        <v>4410.920470333674</v>
      </c>
      <c r="K29" s="99">
        <v>100</v>
      </c>
      <c r="L29" s="92">
        <f aca="true" t="shared" si="16" ref="L29:L38">AVERAGE(F29,H29,J29)</f>
        <v>2250.5720720118165</v>
      </c>
      <c r="M29" s="92"/>
      <c r="N29" s="92">
        <f t="shared" si="5"/>
        <v>3826.4948460252554</v>
      </c>
      <c r="O29" s="92"/>
      <c r="P29" s="92">
        <f aca="true" t="shared" si="17" ref="P29:R38">P13/P$24/0.0283/60*1000000*(21-7)/(21-P$25)</f>
        <v>3181.0210565563543</v>
      </c>
      <c r="Q29" s="92"/>
      <c r="R29" s="92">
        <f t="shared" si="17"/>
        <v>5154.668816721451</v>
      </c>
      <c r="S29" s="92"/>
      <c r="T29" s="92">
        <f aca="true" t="shared" si="18" ref="T29:T38">AVERAGE(N29,P29,R29)</f>
        <v>4054.0615731010203</v>
      </c>
      <c r="U29" s="92"/>
      <c r="V29" s="92">
        <f t="shared" si="6"/>
        <v>444.55963513275873</v>
      </c>
      <c r="W29" s="92"/>
      <c r="X29" s="92">
        <f t="shared" si="7"/>
        <v>418.9815102905697</v>
      </c>
      <c r="Y29" s="92"/>
      <c r="Z29" s="92">
        <f t="shared" si="8"/>
        <v>1908.075495740599</v>
      </c>
      <c r="AA29" s="92"/>
      <c r="AB29" s="92">
        <f aca="true" t="shared" si="19" ref="AB29:AB38">AVERAGE(V29,X29,Z29)</f>
        <v>923.8722137213091</v>
      </c>
      <c r="AC29" s="92"/>
      <c r="AD29" s="92"/>
      <c r="AE29" s="92"/>
      <c r="AF29" s="92"/>
      <c r="AG29" s="92"/>
      <c r="AH29" s="92"/>
      <c r="AI29" s="92"/>
      <c r="AJ29" s="92"/>
      <c r="AK29" s="9"/>
      <c r="AL29" s="9">
        <f t="shared" si="9"/>
        <v>87.00010037578308</v>
      </c>
      <c r="AM29" s="9"/>
      <c r="AN29" s="9">
        <f t="shared" si="10"/>
        <v>36.81491422084232</v>
      </c>
      <c r="AO29" s="9"/>
      <c r="AP29" s="9">
        <f t="shared" si="11"/>
        <v>41.50616734750014</v>
      </c>
      <c r="AQ29" s="9"/>
      <c r="AR29" s="9">
        <f aca="true" t="shared" si="20" ref="AR29:AR38">AVERAGE(AP29,AN29,AL29)</f>
        <v>55.10706064804185</v>
      </c>
      <c r="AS29" s="9">
        <f>SUM((AL29*AK29/100),(V29*U29/100),(N29*M29/100),(F29*E29/100))/AT29*100</f>
        <v>23.907662467838232</v>
      </c>
      <c r="AT29" s="94">
        <f t="shared" si="12"/>
        <v>5727.323831643085</v>
      </c>
      <c r="AU29" s="9">
        <f>SUM((AN29*AM29/100),(X29*W29/100),(P29*O29/100),(H29*G29/100))/AV29*100</f>
        <v>21.081900581053624</v>
      </c>
      <c r="AV29" s="94">
        <f t="shared" si="13"/>
        <v>4608.343976660254</v>
      </c>
      <c r="AW29" s="9">
        <f>SUM((AP29*AO29/100),(Z29*Y29/100),(R29*Q29/100),(J29*I29/100))/AX29*100</f>
        <v>38.30529732846746</v>
      </c>
      <c r="AX29" s="94">
        <f t="shared" si="14"/>
        <v>11515.170950143223</v>
      </c>
      <c r="AY29" s="75">
        <f>SUM((AR29*AQ29/100),(AB29*AA29/100),(T29*S29/100),(L29*K29/100))/AZ29*100</f>
        <v>30.899116920285437</v>
      </c>
      <c r="AZ29" s="94">
        <f t="shared" si="15"/>
        <v>7283.612919482188</v>
      </c>
    </row>
    <row r="30" spans="2:52" ht="12.75">
      <c r="B30" s="16" t="s">
        <v>81</v>
      </c>
      <c r="C30" s="16"/>
      <c r="D30" s="16" t="s">
        <v>54</v>
      </c>
      <c r="E30" s="40"/>
      <c r="F30" s="92">
        <f t="shared" si="4"/>
        <v>269.28961918816</v>
      </c>
      <c r="G30" s="99"/>
      <c r="H30" s="92">
        <f t="shared" si="4"/>
        <v>582.9158973554925</v>
      </c>
      <c r="I30" s="99"/>
      <c r="J30" s="92">
        <f t="shared" si="4"/>
        <v>1558.5252328512308</v>
      </c>
      <c r="K30" s="99"/>
      <c r="L30" s="92">
        <f t="shared" si="16"/>
        <v>803.5769164649611</v>
      </c>
      <c r="M30" s="92"/>
      <c r="N30" s="92">
        <f t="shared" si="5"/>
        <v>1275.4982820084188</v>
      </c>
      <c r="O30" s="92"/>
      <c r="P30" s="92">
        <f t="shared" si="17"/>
        <v>1488.9885796646772</v>
      </c>
      <c r="Q30" s="92"/>
      <c r="R30" s="92">
        <f t="shared" si="17"/>
        <v>1823.95973514759</v>
      </c>
      <c r="S30" s="92"/>
      <c r="T30" s="92">
        <f t="shared" si="18"/>
        <v>1529.4821989402287</v>
      </c>
      <c r="U30" s="92"/>
      <c r="V30" s="92">
        <f t="shared" si="6"/>
        <v>959.6842917151616</v>
      </c>
      <c r="W30" s="92"/>
      <c r="X30" s="92">
        <f t="shared" si="7"/>
        <v>935.7253729822723</v>
      </c>
      <c r="Y30" s="92"/>
      <c r="Z30" s="92">
        <f t="shared" si="8"/>
        <v>648.7456685518038</v>
      </c>
      <c r="AA30" s="92"/>
      <c r="AB30" s="92">
        <f t="shared" si="19"/>
        <v>848.0517777497458</v>
      </c>
      <c r="AC30" s="92"/>
      <c r="AD30" s="92"/>
      <c r="AE30" s="92"/>
      <c r="AF30" s="92"/>
      <c r="AG30" s="92"/>
      <c r="AH30" s="92"/>
      <c r="AI30" s="92"/>
      <c r="AJ30" s="92"/>
      <c r="AK30" s="74">
        <v>100</v>
      </c>
      <c r="AL30" s="9">
        <f t="shared" si="9"/>
        <v>2.9000033458594356</v>
      </c>
      <c r="AM30" s="74"/>
      <c r="AN30" s="9">
        <f t="shared" si="10"/>
        <v>7.750508257019433</v>
      </c>
      <c r="AO30" s="74">
        <v>100</v>
      </c>
      <c r="AP30" s="9">
        <f t="shared" si="11"/>
        <v>2.30589818597223</v>
      </c>
      <c r="AQ30" s="75">
        <f>SUM(AP30,AL30)/AR30/3*100</f>
        <v>40.180124098199705</v>
      </c>
      <c r="AR30" s="9">
        <f t="shared" si="20"/>
        <v>4.318803262950366</v>
      </c>
      <c r="AS30" s="9">
        <f>SUM((AL30*AK30/100),(V30*U30/100),(N30*M30/100),(F30*E30/100))/AT30*100</f>
        <v>0.1156590692912628</v>
      </c>
      <c r="AT30" s="94">
        <f t="shared" si="12"/>
        <v>2507.3721962576</v>
      </c>
      <c r="AU30" s="9"/>
      <c r="AV30" s="94">
        <f t="shared" si="13"/>
        <v>3015.380358259461</v>
      </c>
      <c r="AW30" s="9">
        <f>SUM((AP30*AO30/100),(Z30*Y30/100),(R30*Q30/100),(J30*I30/100))/AX30*100</f>
        <v>0.05716814924357225</v>
      </c>
      <c r="AX30" s="94">
        <f t="shared" si="14"/>
        <v>4033.536534736597</v>
      </c>
      <c r="AY30" s="75">
        <f>SUM((AR30*AQ30/100),(AB30*AA30/100),(T30*S30/100),(L30*K30/100))/AZ30*100</f>
        <v>0.05447618299540419</v>
      </c>
      <c r="AZ30" s="94">
        <f t="shared" si="15"/>
        <v>3185.4296964178857</v>
      </c>
    </row>
    <row r="31" spans="2:52" ht="12.75">
      <c r="B31" s="16" t="s">
        <v>82</v>
      </c>
      <c r="C31" s="16"/>
      <c r="D31" s="16" t="s">
        <v>54</v>
      </c>
      <c r="E31" s="40"/>
      <c r="F31" s="92">
        <f t="shared" si="4"/>
        <v>572.8109696290522</v>
      </c>
      <c r="G31" s="99"/>
      <c r="H31" s="92">
        <f t="shared" si="4"/>
        <v>331.9382193274333</v>
      </c>
      <c r="I31" s="99"/>
      <c r="J31" s="92">
        <f t="shared" si="4"/>
        <v>2014.3203481190442</v>
      </c>
      <c r="K31" s="99"/>
      <c r="L31" s="92">
        <f t="shared" si="16"/>
        <v>973.0231790251765</v>
      </c>
      <c r="M31" s="92"/>
      <c r="N31" s="92">
        <f t="shared" si="5"/>
        <v>55200.73120469767</v>
      </c>
      <c r="O31" s="92"/>
      <c r="P31" s="92">
        <f t="shared" si="17"/>
        <v>52520.68808271767</v>
      </c>
      <c r="Q31" s="92"/>
      <c r="R31" s="92">
        <f t="shared" si="17"/>
        <v>60349.27645423112</v>
      </c>
      <c r="S31" s="92"/>
      <c r="T31" s="92">
        <f t="shared" si="18"/>
        <v>56023.56524721548</v>
      </c>
      <c r="U31" s="92"/>
      <c r="V31" s="92">
        <f t="shared" si="6"/>
        <v>41492.232612390806</v>
      </c>
      <c r="W31" s="92"/>
      <c r="X31" s="92">
        <f t="shared" si="7"/>
        <v>43085.26530821359</v>
      </c>
      <c r="Y31" s="92"/>
      <c r="Z31" s="92">
        <f t="shared" si="8"/>
        <v>58921.37130846971</v>
      </c>
      <c r="AA31" s="92"/>
      <c r="AB31" s="92">
        <f t="shared" si="19"/>
        <v>47832.95640969137</v>
      </c>
      <c r="AC31" s="92"/>
      <c r="AD31" s="92"/>
      <c r="AE31" s="92"/>
      <c r="AF31" s="92"/>
      <c r="AG31" s="92"/>
      <c r="AH31" s="92"/>
      <c r="AI31" s="92"/>
      <c r="AJ31" s="92"/>
      <c r="AK31" s="74"/>
      <c r="AL31" s="9">
        <f t="shared" si="9"/>
        <v>20.300023421016054</v>
      </c>
      <c r="AM31" s="74"/>
      <c r="AN31" s="9">
        <f t="shared" si="10"/>
        <v>7.750508257019433</v>
      </c>
      <c r="AO31" s="74"/>
      <c r="AP31" s="9">
        <f t="shared" si="11"/>
        <v>9.22359274388892</v>
      </c>
      <c r="AQ31" s="9"/>
      <c r="AR31" s="9">
        <f t="shared" si="20"/>
        <v>12.42470814064147</v>
      </c>
      <c r="AS31" s="9"/>
      <c r="AT31" s="94">
        <f t="shared" si="12"/>
        <v>97286.07481013854</v>
      </c>
      <c r="AU31" s="9"/>
      <c r="AV31" s="94">
        <f t="shared" si="13"/>
        <v>95945.64211851572</v>
      </c>
      <c r="AW31" s="9"/>
      <c r="AX31" s="94">
        <f t="shared" si="14"/>
        <v>121294.19170356376</v>
      </c>
      <c r="AY31" s="75"/>
      <c r="AZ31" s="94">
        <f t="shared" si="15"/>
        <v>104841.96954407266</v>
      </c>
    </row>
    <row r="32" spans="2:52" ht="12.75">
      <c r="B32" s="16" t="s">
        <v>83</v>
      </c>
      <c r="C32" s="16"/>
      <c r="D32" s="16" t="s">
        <v>54</v>
      </c>
      <c r="E32" s="40">
        <v>100</v>
      </c>
      <c r="F32" s="92">
        <f t="shared" si="4"/>
        <v>114.10577084244066</v>
      </c>
      <c r="G32" s="99">
        <v>100</v>
      </c>
      <c r="H32" s="92">
        <f t="shared" si="4"/>
        <v>80.96054129937396</v>
      </c>
      <c r="I32" s="99">
        <v>100</v>
      </c>
      <c r="J32" s="92">
        <f t="shared" si="4"/>
        <v>88.21840940667347</v>
      </c>
      <c r="K32" s="99">
        <v>100</v>
      </c>
      <c r="L32" s="92">
        <f t="shared" si="16"/>
        <v>94.4282405161627</v>
      </c>
      <c r="M32" s="92">
        <v>100</v>
      </c>
      <c r="N32" s="92">
        <f t="shared" si="5"/>
        <v>708.6101566713437</v>
      </c>
      <c r="O32" s="92">
        <v>100</v>
      </c>
      <c r="P32" s="92">
        <f t="shared" si="17"/>
        <v>676.8129907566711</v>
      </c>
      <c r="Q32" s="92">
        <v>100</v>
      </c>
      <c r="R32" s="92">
        <f t="shared" si="17"/>
        <v>793.0259718033001</v>
      </c>
      <c r="S32" s="92">
        <v>100</v>
      </c>
      <c r="T32" s="92">
        <f t="shared" si="18"/>
        <v>726.1497064104383</v>
      </c>
      <c r="U32" s="92">
        <v>100</v>
      </c>
      <c r="V32" s="92">
        <f t="shared" si="6"/>
        <v>35.28251072482212</v>
      </c>
      <c r="W32" s="92">
        <v>100</v>
      </c>
      <c r="X32" s="92">
        <f t="shared" si="7"/>
        <v>34.91512585754747</v>
      </c>
      <c r="Y32" s="92">
        <v>100</v>
      </c>
      <c r="Z32" s="92">
        <f t="shared" si="8"/>
        <v>38.16150991481198</v>
      </c>
      <c r="AA32" s="92">
        <v>100</v>
      </c>
      <c r="AB32" s="92">
        <f t="shared" si="19"/>
        <v>36.119715499060526</v>
      </c>
      <c r="AC32" s="92"/>
      <c r="AD32" s="92"/>
      <c r="AE32" s="92"/>
      <c r="AF32" s="92"/>
      <c r="AG32" s="92"/>
      <c r="AH32" s="92"/>
      <c r="AI32" s="92"/>
      <c r="AJ32" s="92"/>
      <c r="AK32" s="74">
        <v>100</v>
      </c>
      <c r="AL32" s="9">
        <f t="shared" si="9"/>
        <v>2.9000033458594356</v>
      </c>
      <c r="AM32" s="74">
        <v>100</v>
      </c>
      <c r="AN32" s="9">
        <f t="shared" si="10"/>
        <v>1.9376270642548583</v>
      </c>
      <c r="AO32" s="74">
        <v>100</v>
      </c>
      <c r="AP32" s="9">
        <f t="shared" si="11"/>
        <v>2.30589818597223</v>
      </c>
      <c r="AQ32" s="74">
        <v>100</v>
      </c>
      <c r="AR32" s="9">
        <f t="shared" si="20"/>
        <v>2.381176198695508</v>
      </c>
      <c r="AS32" s="75">
        <f>SUM((AL32*AK32/100),(V32*U32/100),(N32*M32/100),(F32*E32/100))/AT32*100</f>
        <v>100</v>
      </c>
      <c r="AT32" s="94">
        <f t="shared" si="12"/>
        <v>860.8984415844659</v>
      </c>
      <c r="AU32" s="75">
        <f>SUM((AN32*AM32/100),(X32*W32/100),(P32*O32/100),(H32*G32/100))/AV32*100</f>
        <v>100</v>
      </c>
      <c r="AV32" s="94">
        <f t="shared" si="13"/>
        <v>794.6262849778474</v>
      </c>
      <c r="AW32" s="75">
        <f>SUM((AP32*AO32/100),(Z32*Y32/100),(R32*Q32/100),(J32*I32/100))/AX32*100</f>
        <v>100</v>
      </c>
      <c r="AX32" s="94">
        <f t="shared" si="14"/>
        <v>921.7117893107578</v>
      </c>
      <c r="AY32" s="75">
        <f>SUM((AR32*AQ32/100),(AB32*AA32/100),(T32*S32/100),(L32*K32/100))/AZ32*100</f>
        <v>100</v>
      </c>
      <c r="AZ32" s="94">
        <f t="shared" si="15"/>
        <v>859.0788386243571</v>
      </c>
    </row>
    <row r="33" spans="2:52" ht="12.75">
      <c r="B33" s="16" t="s">
        <v>84</v>
      </c>
      <c r="C33" s="16"/>
      <c r="D33" s="16" t="s">
        <v>54</v>
      </c>
      <c r="E33" s="40">
        <v>100</v>
      </c>
      <c r="F33" s="92">
        <f t="shared" si="4"/>
        <v>114.10577084244066</v>
      </c>
      <c r="G33" s="99">
        <v>100</v>
      </c>
      <c r="H33" s="92">
        <f t="shared" si="4"/>
        <v>80.96054129937396</v>
      </c>
      <c r="I33" s="99">
        <v>100</v>
      </c>
      <c r="J33" s="92">
        <f t="shared" si="4"/>
        <v>367.5767058611394</v>
      </c>
      <c r="K33" s="99">
        <v>100</v>
      </c>
      <c r="L33" s="92">
        <f t="shared" si="16"/>
        <v>187.54767266765134</v>
      </c>
      <c r="M33" s="92">
        <v>100</v>
      </c>
      <c r="N33" s="92">
        <f t="shared" si="5"/>
        <v>708.6101566713437</v>
      </c>
      <c r="O33" s="92">
        <v>100</v>
      </c>
      <c r="P33" s="92">
        <f t="shared" si="17"/>
        <v>676.8129907566711</v>
      </c>
      <c r="Q33" s="92">
        <v>100</v>
      </c>
      <c r="R33" s="92">
        <f t="shared" si="17"/>
        <v>793.0259718033001</v>
      </c>
      <c r="S33" s="92">
        <v>100</v>
      </c>
      <c r="T33" s="92">
        <f t="shared" si="18"/>
        <v>726.1497064104383</v>
      </c>
      <c r="U33" s="92"/>
      <c r="V33" s="92">
        <f t="shared" si="6"/>
        <v>141.13004289928847</v>
      </c>
      <c r="W33" s="92"/>
      <c r="X33" s="92">
        <f t="shared" si="7"/>
        <v>146.6435286016994</v>
      </c>
      <c r="Y33" s="92"/>
      <c r="Z33" s="92">
        <f t="shared" si="8"/>
        <v>167.9106436251727</v>
      </c>
      <c r="AA33" s="92"/>
      <c r="AB33" s="92">
        <f t="shared" si="19"/>
        <v>151.89473837538685</v>
      </c>
      <c r="AC33" s="92"/>
      <c r="AD33" s="92"/>
      <c r="AE33" s="92"/>
      <c r="AF33" s="92"/>
      <c r="AG33" s="92"/>
      <c r="AH33" s="92"/>
      <c r="AI33" s="92"/>
      <c r="AJ33" s="92"/>
      <c r="AK33" s="74">
        <v>100</v>
      </c>
      <c r="AL33" s="9">
        <f t="shared" si="9"/>
        <v>2.9000033458594356</v>
      </c>
      <c r="AM33" s="74">
        <v>100</v>
      </c>
      <c r="AN33" s="9">
        <f t="shared" si="10"/>
        <v>1.9376270642548583</v>
      </c>
      <c r="AO33" s="74">
        <v>100</v>
      </c>
      <c r="AP33" s="9">
        <f t="shared" si="11"/>
        <v>2.30589818597223</v>
      </c>
      <c r="AQ33" s="74">
        <v>100</v>
      </c>
      <c r="AR33" s="9">
        <f t="shared" si="20"/>
        <v>2.381176198695508</v>
      </c>
      <c r="AS33" s="9">
        <f>SUM((AL33*AK33/100),(V33*U33/100),(N33*M33/100),(F33*E33/100))/AT33*100</f>
        <v>85.40153807410833</v>
      </c>
      <c r="AT33" s="94">
        <f t="shared" si="12"/>
        <v>966.7459737589322</v>
      </c>
      <c r="AU33" s="9">
        <f>SUM((AN33*AM33/100),(X33*W33/100),(P33*O33/100),(H33*G33/100))/AV33*100</f>
        <v>83.82051413335014</v>
      </c>
      <c r="AV33" s="94">
        <f t="shared" si="13"/>
        <v>906.3546877219993</v>
      </c>
      <c r="AW33" s="9">
        <f>SUM((AP33*AO33/100),(Z33*Y33/100),(R33*Q33/100),(J33*I33/100))/AX33*100</f>
        <v>87.38291112963196</v>
      </c>
      <c r="AX33" s="94">
        <f t="shared" si="14"/>
        <v>1330.8192194755843</v>
      </c>
      <c r="AY33" s="75">
        <f>SUM((AR33*AQ33/100),(AB33*AA33/100),(T33*S33/100),(L33*K33/100))/AZ33*100</f>
        <v>85.77729056726233</v>
      </c>
      <c r="AZ33" s="94">
        <f t="shared" si="15"/>
        <v>1067.9732936521718</v>
      </c>
    </row>
    <row r="34" spans="2:52" ht="12.75">
      <c r="B34" s="16" t="s">
        <v>113</v>
      </c>
      <c r="C34" s="16"/>
      <c r="D34" s="16" t="s">
        <v>54</v>
      </c>
      <c r="E34" s="40"/>
      <c r="F34" s="92">
        <f t="shared" si="4"/>
        <v>228.21154168488133</v>
      </c>
      <c r="G34" s="99"/>
      <c r="H34" s="92">
        <f t="shared" si="4"/>
        <v>157.0634501207855</v>
      </c>
      <c r="I34" s="99"/>
      <c r="J34" s="92">
        <f t="shared" si="4"/>
        <v>771.9110823083928</v>
      </c>
      <c r="K34" s="99"/>
      <c r="L34" s="92">
        <f t="shared" si="16"/>
        <v>385.72869137135314</v>
      </c>
      <c r="M34" s="92"/>
      <c r="N34" s="92">
        <f t="shared" si="5"/>
        <v>9353.654068061735</v>
      </c>
      <c r="O34" s="92"/>
      <c r="P34" s="92">
        <f t="shared" si="17"/>
        <v>9340.019272442063</v>
      </c>
      <c r="Q34" s="92"/>
      <c r="R34" s="92">
        <f t="shared" si="17"/>
        <v>10864.45581370521</v>
      </c>
      <c r="S34" s="92"/>
      <c r="T34" s="92">
        <f t="shared" si="18"/>
        <v>9852.709718069667</v>
      </c>
      <c r="U34" s="92"/>
      <c r="V34" s="92">
        <f t="shared" si="6"/>
        <v>5391.16763875282</v>
      </c>
      <c r="W34" s="92"/>
      <c r="X34" s="92">
        <f t="shared" si="7"/>
        <v>4909.066695571174</v>
      </c>
      <c r="Y34" s="92"/>
      <c r="Z34" s="92">
        <f t="shared" si="8"/>
        <v>4983.893194874446</v>
      </c>
      <c r="AA34" s="92"/>
      <c r="AB34" s="92">
        <f t="shared" si="19"/>
        <v>5094.7091763994795</v>
      </c>
      <c r="AC34" s="92"/>
      <c r="AD34" s="92">
        <f>AD18/AD$24/0.0283/60*1000000*(21-7)/(21-AD$25)</f>
        <v>95444.37140944992</v>
      </c>
      <c r="AE34" s="92"/>
      <c r="AF34" s="92">
        <f>AF18/AF$24/0.0283/60*1000000*(21-7)/(21-AF$25)</f>
        <v>92052.27824493899</v>
      </c>
      <c r="AG34" s="92"/>
      <c r="AH34" s="92">
        <f>AH18/AH$24/0.0283/60*1000000*(21-7)/(21-AH$25)</f>
        <v>106099.9663369409</v>
      </c>
      <c r="AI34" s="92"/>
      <c r="AJ34" s="92">
        <f>AJ18/AJ$24/0.0283/60*1000000*(21-7)/(21-AJ$25)</f>
        <v>97513.27079062635</v>
      </c>
      <c r="AK34" s="74">
        <v>100</v>
      </c>
      <c r="AL34" s="9">
        <f t="shared" si="9"/>
        <v>2.9000033458594356</v>
      </c>
      <c r="AM34" s="74">
        <v>100</v>
      </c>
      <c r="AN34" s="9">
        <f t="shared" si="10"/>
        <v>1.9376270642548583</v>
      </c>
      <c r="AO34" s="74">
        <v>100</v>
      </c>
      <c r="AP34" s="9">
        <f t="shared" si="11"/>
        <v>2.30589818597223</v>
      </c>
      <c r="AQ34" s="74">
        <v>100</v>
      </c>
      <c r="AR34" s="9">
        <f t="shared" si="20"/>
        <v>2.381176198695508</v>
      </c>
      <c r="AS34" s="9"/>
      <c r="AT34" s="94">
        <f t="shared" si="12"/>
        <v>110420.3046612952</v>
      </c>
      <c r="AU34" s="9"/>
      <c r="AV34" s="94">
        <f t="shared" si="13"/>
        <v>106460.36529013727</v>
      </c>
      <c r="AW34" s="9"/>
      <c r="AX34" s="94">
        <f t="shared" si="14"/>
        <v>122722.53232601492</v>
      </c>
      <c r="AY34" s="75"/>
      <c r="AZ34" s="94">
        <f t="shared" si="15"/>
        <v>112848.79955266556</v>
      </c>
    </row>
    <row r="35" spans="2:52" ht="12.75">
      <c r="B35" s="16" t="s">
        <v>79</v>
      </c>
      <c r="C35" s="16"/>
      <c r="D35" s="16" t="s">
        <v>54</v>
      </c>
      <c r="E35" s="40"/>
      <c r="F35" s="92">
        <f t="shared" si="4"/>
        <v>114.10577084244066</v>
      </c>
      <c r="G35" s="99"/>
      <c r="H35" s="92">
        <f t="shared" si="4"/>
        <v>119.82160112307345</v>
      </c>
      <c r="I35" s="99"/>
      <c r="J35" s="92">
        <f t="shared" si="4"/>
        <v>551.3650587917092</v>
      </c>
      <c r="K35" s="99"/>
      <c r="L35" s="92">
        <f t="shared" si="16"/>
        <v>261.7641435857411</v>
      </c>
      <c r="M35" s="92"/>
      <c r="N35" s="92">
        <f t="shared" si="5"/>
        <v>1558.9423446769563</v>
      </c>
      <c r="O35" s="92"/>
      <c r="P35" s="92">
        <f t="shared" si="17"/>
        <v>1218.2633833620082</v>
      </c>
      <c r="Q35" s="92"/>
      <c r="R35" s="92">
        <f t="shared" si="17"/>
        <v>1427.44674924594</v>
      </c>
      <c r="S35" s="92"/>
      <c r="T35" s="92">
        <f t="shared" si="18"/>
        <v>1401.5508257616348</v>
      </c>
      <c r="U35" s="92"/>
      <c r="V35" s="92">
        <f t="shared" si="6"/>
        <v>8467.80257395731</v>
      </c>
      <c r="W35" s="92"/>
      <c r="X35" s="92">
        <f t="shared" si="7"/>
        <v>7681.327688660444</v>
      </c>
      <c r="Y35" s="92"/>
      <c r="Z35" s="92">
        <f t="shared" si="8"/>
        <v>11448.452974443595</v>
      </c>
      <c r="AA35" s="92"/>
      <c r="AB35" s="92">
        <f t="shared" si="19"/>
        <v>9199.194412353783</v>
      </c>
      <c r="AC35" s="92"/>
      <c r="AD35" s="92">
        <f>AD19/AD$24/0.0283/60*1000000*(21-7)/(21-AD$25)</f>
        <v>147181.20068454772</v>
      </c>
      <c r="AE35" s="92"/>
      <c r="AF35" s="92">
        <f>AF19/AF$24/0.0283/60*1000000*(21-7)/(21-AF$25)</f>
        <v>141092.80535218996</v>
      </c>
      <c r="AG35" s="92"/>
      <c r="AH35" s="92">
        <f>AH19/AH$24/0.0283/60*1000000*(21-7)/(21-AH$25)</f>
        <v>165857.84580096925</v>
      </c>
      <c r="AI35" s="92"/>
      <c r="AJ35" s="92">
        <f>AJ19/AJ$24/0.0283/60*1000000*(21-7)/(21-AJ$25)</f>
        <v>150759.44641798222</v>
      </c>
      <c r="AK35" s="52"/>
      <c r="AL35" s="9">
        <f t="shared" si="9"/>
        <v>153.7001773305501</v>
      </c>
      <c r="AM35" s="52"/>
      <c r="AN35" s="9">
        <f t="shared" si="10"/>
        <v>155.01016514038875</v>
      </c>
      <c r="AO35" s="52"/>
      <c r="AP35" s="9">
        <f t="shared" si="11"/>
        <v>50.72976009138906</v>
      </c>
      <c r="AQ35" s="52"/>
      <c r="AR35" s="9">
        <f t="shared" si="20"/>
        <v>119.81336752077597</v>
      </c>
      <c r="AS35" s="9"/>
      <c r="AT35" s="94">
        <f t="shared" si="12"/>
        <v>157475.75155135497</v>
      </c>
      <c r="AU35" s="9"/>
      <c r="AV35" s="94">
        <f t="shared" si="13"/>
        <v>150267.22819047587</v>
      </c>
      <c r="AW35" s="9"/>
      <c r="AX35" s="94">
        <f t="shared" si="14"/>
        <v>179335.8403435419</v>
      </c>
      <c r="AY35" s="75"/>
      <c r="AZ35" s="94">
        <f t="shared" si="15"/>
        <v>161741.76916720415</v>
      </c>
    </row>
    <row r="36" spans="2:52" ht="12.75">
      <c r="B36" s="16" t="s">
        <v>85</v>
      </c>
      <c r="C36" s="16"/>
      <c r="D36" s="16" t="s">
        <v>54</v>
      </c>
      <c r="E36" s="40"/>
      <c r="F36" s="92">
        <f t="shared" si="4"/>
        <v>2.5103269585336947</v>
      </c>
      <c r="G36" s="99"/>
      <c r="H36" s="92">
        <f t="shared" si="4"/>
        <v>9.877186038523623</v>
      </c>
      <c r="I36" s="99"/>
      <c r="J36" s="92">
        <f t="shared" si="4"/>
        <v>7.351534117222788</v>
      </c>
      <c r="K36" s="99"/>
      <c r="L36" s="92">
        <f t="shared" si="16"/>
        <v>6.579682371426702</v>
      </c>
      <c r="M36" s="92"/>
      <c r="N36" s="92">
        <f t="shared" si="5"/>
        <v>4.8894100810322705</v>
      </c>
      <c r="O36" s="92"/>
      <c r="P36" s="92">
        <f t="shared" si="17"/>
        <v>5.7529104214317055</v>
      </c>
      <c r="Q36" s="92"/>
      <c r="R36" s="92">
        <f t="shared" si="17"/>
        <v>7.9302597180330014</v>
      </c>
      <c r="S36" s="92"/>
      <c r="T36" s="92">
        <f t="shared" si="18"/>
        <v>6.1908600734989925</v>
      </c>
      <c r="U36" s="92"/>
      <c r="V36" s="92">
        <f t="shared" si="6"/>
        <v>7.762152359460865</v>
      </c>
      <c r="W36" s="92"/>
      <c r="X36" s="92">
        <f t="shared" si="7"/>
        <v>9.077932722962345</v>
      </c>
      <c r="Y36" s="92"/>
      <c r="Z36" s="92">
        <f t="shared" si="8"/>
        <v>35.871819319923254</v>
      </c>
      <c r="AA36" s="92"/>
      <c r="AB36" s="92">
        <f t="shared" si="19"/>
        <v>17.570634800782155</v>
      </c>
      <c r="AC36" s="92"/>
      <c r="AD36" s="92"/>
      <c r="AE36" s="92"/>
      <c r="AF36" s="92"/>
      <c r="AG36" s="92"/>
      <c r="AH36" s="92"/>
      <c r="AI36" s="92"/>
      <c r="AJ36" s="92"/>
      <c r="AK36" s="74">
        <v>100</v>
      </c>
      <c r="AL36" s="9">
        <f t="shared" si="9"/>
        <v>0.029000033458594348</v>
      </c>
      <c r="AM36" s="74">
        <v>100</v>
      </c>
      <c r="AN36" s="9">
        <f t="shared" si="10"/>
        <v>0.019376270642548585</v>
      </c>
      <c r="AO36" s="74">
        <v>100</v>
      </c>
      <c r="AP36" s="9">
        <f t="shared" si="11"/>
        <v>0.0230589818597223</v>
      </c>
      <c r="AQ36" s="74">
        <v>100</v>
      </c>
      <c r="AR36" s="9">
        <f t="shared" si="20"/>
        <v>0.023811761986955077</v>
      </c>
      <c r="AS36" s="9">
        <f>SUM((AL36*AK36/100),(V36*U36/100),(N36*M36/100),(F36*E36/100))/AT36*100</f>
        <v>0.19090411781010228</v>
      </c>
      <c r="AT36" s="94">
        <f t="shared" si="12"/>
        <v>15.190889432485424</v>
      </c>
      <c r="AU36" s="9">
        <f>SUM((AN36*AM36/100),(X36*W36/100),(P36*O36/100),(H36*G36/100))/AV36*100</f>
        <v>0.07835949743671473</v>
      </c>
      <c r="AV36" s="94">
        <f t="shared" si="13"/>
        <v>24.727405453560223</v>
      </c>
      <c r="AW36" s="9"/>
      <c r="AX36" s="94">
        <f t="shared" si="14"/>
        <v>51.176672137038764</v>
      </c>
      <c r="AY36" s="9">
        <f>SUM((AR36*AQ36/100),(AB36*AA36/100),(T36*S36/100),(L36*K36/100))/AZ36*100</f>
        <v>0.07841847721703743</v>
      </c>
      <c r="AZ36" s="94">
        <f>AR36+AJ36+AB36+T36+L36</f>
        <v>30.364989007694806</v>
      </c>
    </row>
    <row r="37" spans="2:52" ht="12.75">
      <c r="B37" s="16" t="s">
        <v>88</v>
      </c>
      <c r="C37" s="16"/>
      <c r="D37" s="16" t="s">
        <v>54</v>
      </c>
      <c r="E37" s="40">
        <v>100</v>
      </c>
      <c r="F37" s="92">
        <f t="shared" si="4"/>
        <v>228.21154168488133</v>
      </c>
      <c r="G37" s="99">
        <v>100</v>
      </c>
      <c r="H37" s="92">
        <f t="shared" si="4"/>
        <v>161.92108259874792</v>
      </c>
      <c r="I37" s="99">
        <v>100</v>
      </c>
      <c r="J37" s="92">
        <f t="shared" si="4"/>
        <v>735.1534117222787</v>
      </c>
      <c r="K37" s="99">
        <v>100</v>
      </c>
      <c r="L37" s="92">
        <f t="shared" si="16"/>
        <v>375.0953453353027</v>
      </c>
      <c r="M37" s="92"/>
      <c r="N37" s="92">
        <f t="shared" si="5"/>
        <v>1417.2203133426874</v>
      </c>
      <c r="O37" s="92"/>
      <c r="P37" s="92">
        <f t="shared" si="17"/>
        <v>1353.6259815133421</v>
      </c>
      <c r="Q37" s="92"/>
      <c r="R37" s="92">
        <f t="shared" si="17"/>
        <v>1586.0519436066002</v>
      </c>
      <c r="S37" s="92"/>
      <c r="T37" s="92">
        <f t="shared" si="18"/>
        <v>1452.2994128208766</v>
      </c>
      <c r="U37" s="92"/>
      <c r="V37" s="92">
        <f t="shared" si="6"/>
        <v>112.90403431943078</v>
      </c>
      <c r="W37" s="92"/>
      <c r="X37" s="92">
        <f t="shared" si="7"/>
        <v>118.71142791566143</v>
      </c>
      <c r="Y37" s="92"/>
      <c r="Z37" s="92">
        <f t="shared" si="8"/>
        <v>129.74913371036072</v>
      </c>
      <c r="AA37" s="92"/>
      <c r="AB37" s="92">
        <f t="shared" si="19"/>
        <v>120.45486531515098</v>
      </c>
      <c r="AC37" s="92"/>
      <c r="AD37" s="92"/>
      <c r="AE37" s="92"/>
      <c r="AF37" s="92"/>
      <c r="AG37" s="92"/>
      <c r="AH37" s="92"/>
      <c r="AI37" s="92"/>
      <c r="AJ37" s="92"/>
      <c r="AK37" s="74">
        <v>100</v>
      </c>
      <c r="AL37" s="9">
        <f t="shared" si="9"/>
        <v>2.9000033458594356</v>
      </c>
      <c r="AM37" s="74">
        <v>100</v>
      </c>
      <c r="AN37" s="9">
        <f t="shared" si="10"/>
        <v>1.9376270642548583</v>
      </c>
      <c r="AO37" s="74">
        <v>100</v>
      </c>
      <c r="AP37" s="9">
        <f t="shared" si="11"/>
        <v>2.30589818597223</v>
      </c>
      <c r="AQ37" s="74">
        <v>100</v>
      </c>
      <c r="AR37" s="9">
        <f t="shared" si="20"/>
        <v>2.381176198695508</v>
      </c>
      <c r="AS37" s="9">
        <f>SUM((AL37*AK37/100),(V37*U37/100),(N37*M37/100),(F37*E37/100))/AT37*100</f>
        <v>13.122123276591902</v>
      </c>
      <c r="AT37" s="94">
        <f t="shared" si="12"/>
        <v>1761.235892692859</v>
      </c>
      <c r="AU37" s="9">
        <f>SUM((AN37*AM37/100),(X37*W37/100),(P37*O37/100),(H37*G37/100))/AV37*100</f>
        <v>10.01461302535877</v>
      </c>
      <c r="AV37" s="94">
        <f t="shared" si="13"/>
        <v>1636.1961190920065</v>
      </c>
      <c r="AW37" s="9">
        <f>SUM((AP37*AO37/100),(Z37*Y37/100),(R37*Q37/100),(J37*I37/100))/AX37*100</f>
        <v>30.06037654006889</v>
      </c>
      <c r="AX37" s="94">
        <f t="shared" si="14"/>
        <v>2453.260387225212</v>
      </c>
      <c r="AY37" s="75">
        <f>SUM((AR37*AQ37/100),(AB37*AA37/100),(T37*S37/100),(L37*K37/100))/AZ37*100</f>
        <v>19.35547944365694</v>
      </c>
      <c r="AZ37" s="94">
        <f>AR37+AJ37+AB37+T37+L37</f>
        <v>1950.2307996700258</v>
      </c>
    </row>
    <row r="38" spans="2:52" ht="12.75">
      <c r="B38" s="16" t="s">
        <v>89</v>
      </c>
      <c r="C38" s="16"/>
      <c r="D38" s="16" t="s">
        <v>54</v>
      </c>
      <c r="E38" s="40">
        <v>100</v>
      </c>
      <c r="F38" s="92">
        <f t="shared" si="4"/>
        <v>228.21154168488133</v>
      </c>
      <c r="G38" s="99">
        <v>100</v>
      </c>
      <c r="H38" s="92">
        <f t="shared" si="4"/>
        <v>161.92108259874792</v>
      </c>
      <c r="I38" s="99">
        <v>100</v>
      </c>
      <c r="J38" s="92">
        <f t="shared" si="4"/>
        <v>735.1534117222787</v>
      </c>
      <c r="K38" s="99">
        <v>100</v>
      </c>
      <c r="L38" s="92">
        <f t="shared" si="16"/>
        <v>375.0953453353027</v>
      </c>
      <c r="M38" s="92">
        <v>100</v>
      </c>
      <c r="N38" s="92">
        <f t="shared" si="5"/>
        <v>2834.440626685375</v>
      </c>
      <c r="O38" s="92">
        <v>100</v>
      </c>
      <c r="P38" s="92">
        <f t="shared" si="17"/>
        <v>744.4942898323386</v>
      </c>
      <c r="Q38" s="92">
        <v>100</v>
      </c>
      <c r="R38" s="92">
        <f t="shared" si="17"/>
        <v>341.001167875419</v>
      </c>
      <c r="S38" s="92">
        <v>100</v>
      </c>
      <c r="T38" s="92">
        <f t="shared" si="18"/>
        <v>1306.6453614643776</v>
      </c>
      <c r="U38" s="92"/>
      <c r="V38" s="92">
        <f t="shared" si="6"/>
        <v>352.8251072482212</v>
      </c>
      <c r="W38" s="92">
        <v>100</v>
      </c>
      <c r="X38" s="92">
        <f t="shared" si="7"/>
        <v>349.1512585754748</v>
      </c>
      <c r="Y38" s="92">
        <v>100</v>
      </c>
      <c r="Z38" s="92">
        <f t="shared" si="8"/>
        <v>381.6150991481198</v>
      </c>
      <c r="AA38" s="92">
        <f>SUM(X38,Z38)/AB38*100/3</f>
        <v>67.43928697727439</v>
      </c>
      <c r="AB38" s="92">
        <f t="shared" si="19"/>
        <v>361.1971549906052</v>
      </c>
      <c r="AC38" s="92"/>
      <c r="AD38" s="92"/>
      <c r="AE38" s="92"/>
      <c r="AF38" s="92"/>
      <c r="AG38" s="92"/>
      <c r="AH38" s="92"/>
      <c r="AI38" s="92"/>
      <c r="AJ38" s="92"/>
      <c r="AK38" s="74">
        <v>100</v>
      </c>
      <c r="AL38" s="9">
        <f t="shared" si="9"/>
        <v>2.9000033458594356</v>
      </c>
      <c r="AM38" s="74">
        <v>100</v>
      </c>
      <c r="AN38" s="9">
        <f t="shared" si="10"/>
        <v>1.9376270642548583</v>
      </c>
      <c r="AO38" s="74">
        <v>100</v>
      </c>
      <c r="AP38" s="9">
        <f t="shared" si="11"/>
        <v>2.30589818597223</v>
      </c>
      <c r="AQ38" s="74">
        <v>100</v>
      </c>
      <c r="AR38" s="9">
        <f t="shared" si="20"/>
        <v>2.381176198695508</v>
      </c>
      <c r="AS38" s="9">
        <f>SUM((AL38*AK38/100),(V38*U38/100),(N38*M38/100),(F38*E38/100))/AT38*100</f>
        <v>89.67857909016071</v>
      </c>
      <c r="AT38" s="94">
        <f t="shared" si="12"/>
        <v>3418.3772789643367</v>
      </c>
      <c r="AU38" s="9">
        <f>SUM((AN38*AM38/100),(X38*W38/100),(P38*O38/100),(H38*G38/100))/AV38*100</f>
        <v>100</v>
      </c>
      <c r="AV38" s="94">
        <f t="shared" si="13"/>
        <v>1257.5042580708161</v>
      </c>
      <c r="AW38" s="75">
        <f>SUM((AP38*AO38/100),(Z38*Y38/100),(R38*Q38/100),(J38*I38/100))/AX38*100</f>
        <v>100</v>
      </c>
      <c r="AX38" s="94">
        <f t="shared" si="14"/>
        <v>1460.0755769317898</v>
      </c>
      <c r="AY38" s="75">
        <f>SUM((AR38*AQ38/100),(AB38*AA38/100),(T38*S38/100),(L38*K38/100))/AZ38*100</f>
        <v>94.24987657679183</v>
      </c>
      <c r="AZ38" s="94">
        <f>AR38+AJ38+AB38+T38+L38</f>
        <v>2045.319037988981</v>
      </c>
    </row>
    <row r="39" spans="2:52" ht="12.75">
      <c r="B39" s="16"/>
      <c r="C39" s="16"/>
      <c r="D39" s="16"/>
      <c r="E39" s="40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  <c r="Q39" s="93"/>
      <c r="R39" s="93"/>
      <c r="S39" s="93"/>
      <c r="T39" s="92"/>
      <c r="U39" s="92"/>
      <c r="V39" s="93"/>
      <c r="W39" s="93"/>
      <c r="X39" s="93"/>
      <c r="Y39" s="93"/>
      <c r="Z39" s="94"/>
      <c r="AA39" s="94"/>
      <c r="AB39" s="92"/>
      <c r="AC39" s="92"/>
      <c r="AD39" s="94"/>
      <c r="AE39" s="94"/>
      <c r="AF39" s="94"/>
      <c r="AG39" s="94"/>
      <c r="AH39" s="94"/>
      <c r="AI39" s="94"/>
      <c r="AJ39" s="92"/>
      <c r="AK39" s="9"/>
      <c r="AR39" s="9"/>
      <c r="AS39" s="9"/>
      <c r="AT39" s="92"/>
      <c r="AU39" s="9"/>
      <c r="AV39" s="92"/>
      <c r="AW39" s="9"/>
      <c r="AX39" s="92"/>
      <c r="AY39" s="9"/>
      <c r="AZ39" s="94"/>
    </row>
    <row r="40" spans="2:52" ht="12.75">
      <c r="B40" s="16" t="s">
        <v>55</v>
      </c>
      <c r="C40" s="16"/>
      <c r="D40" s="16" t="s">
        <v>54</v>
      </c>
      <c r="E40" s="40">
        <f>F33/F40*100</f>
        <v>50</v>
      </c>
      <c r="F40" s="92">
        <f>F35+F33</f>
        <v>228.21154168488133</v>
      </c>
      <c r="G40" s="99">
        <f>H33/H40*100</f>
        <v>40.322580645161295</v>
      </c>
      <c r="H40" s="92">
        <f>H35+H33</f>
        <v>200.7821424224474</v>
      </c>
      <c r="I40" s="99">
        <f>J33/J40*100</f>
        <v>39.99999999999999</v>
      </c>
      <c r="J40" s="92">
        <f>J35+J33</f>
        <v>918.9417646528486</v>
      </c>
      <c r="K40" s="99">
        <f>L33/L40*100</f>
        <v>41.74109513333666</v>
      </c>
      <c r="L40" s="92">
        <f>AVERAGE(F40,H40,J40)</f>
        <v>449.3118162533924</v>
      </c>
      <c r="M40" s="92">
        <f>N33/N40*100</f>
        <v>31.249999999999993</v>
      </c>
      <c r="N40" s="92">
        <f>N35+N33</f>
        <v>2267.5525013483</v>
      </c>
      <c r="O40" s="92">
        <f>P33/P40*100</f>
        <v>35.71428571428571</v>
      </c>
      <c r="P40" s="92">
        <f>P35+P33</f>
        <v>1895.0763741186793</v>
      </c>
      <c r="Q40" s="92">
        <f>R33/R40*100</f>
        <v>35.714285714285715</v>
      </c>
      <c r="R40" s="92">
        <f>R35+R33</f>
        <v>2220.47272104924</v>
      </c>
      <c r="S40" s="92">
        <f>T33/T40*100</f>
        <v>34.12837922586526</v>
      </c>
      <c r="T40" s="92">
        <f>T35+T33</f>
        <v>2127.700532172073</v>
      </c>
      <c r="U40" s="92"/>
      <c r="V40" s="92">
        <f>V35+V33</f>
        <v>8608.932616856599</v>
      </c>
      <c r="W40" s="92"/>
      <c r="X40" s="92">
        <f>X35+X33</f>
        <v>7827.971217262144</v>
      </c>
      <c r="Y40" s="92"/>
      <c r="Z40" s="92">
        <f>Z35+Z33</f>
        <v>11616.363618068768</v>
      </c>
      <c r="AA40" s="92"/>
      <c r="AB40" s="92">
        <f>AVERAGE(V40,X40,Z40)</f>
        <v>9351.089150729169</v>
      </c>
      <c r="AC40" s="92"/>
      <c r="AD40" s="92">
        <f>AD35+AD33</f>
        <v>147181.20068454772</v>
      </c>
      <c r="AE40" s="92"/>
      <c r="AF40" s="92">
        <f>AF35+AF33</f>
        <v>141092.80535218996</v>
      </c>
      <c r="AG40" s="92"/>
      <c r="AH40" s="92">
        <f>AH35+AH33</f>
        <v>165857.84580096925</v>
      </c>
      <c r="AI40" s="92"/>
      <c r="AJ40" s="92">
        <f>AJ35+AJ33</f>
        <v>150759.44641798222</v>
      </c>
      <c r="AK40" s="9">
        <f>AL33/AL40*100</f>
        <v>1.8518518518518516</v>
      </c>
      <c r="AL40" s="9">
        <f>AL35+AL33</f>
        <v>156.60018067640954</v>
      </c>
      <c r="AM40" s="9">
        <f>AN33/AN40*100</f>
        <v>1.2345679012345674</v>
      </c>
      <c r="AN40" s="9">
        <f>AN35+AN33</f>
        <v>156.9477922046436</v>
      </c>
      <c r="AO40" s="9">
        <f>AP33/AP40*100</f>
        <v>4.3478260869565215</v>
      </c>
      <c r="AP40" s="9">
        <f>AP35+AP33</f>
        <v>53.03565827736129</v>
      </c>
      <c r="AQ40" s="9">
        <f>SUM((AL40*AK40/100),(AN40*AM40/100),(AP40*AO40/100))/AR40*100/3</f>
        <v>1.9486763698402942</v>
      </c>
      <c r="AR40" s="9">
        <f>AR35+AR33</f>
        <v>122.19454371947148</v>
      </c>
      <c r="AS40" s="9">
        <f>SUM((AL40*AK40/100),(V40*U40/100),(N40*M40/100),(F40*E40/100))/AT40*100</f>
        <v>0.52108237610227</v>
      </c>
      <c r="AT40" s="94">
        <f>AL40+AD40+V40+N40+F40</f>
        <v>158442.4975251139</v>
      </c>
      <c r="AU40" s="9">
        <f>SUM((AN40*AM40/100),(X40*W40/100),(P40*O40/100),(H40*G40/100))/AV40*100</f>
        <v>0.5025422727014461</v>
      </c>
      <c r="AV40" s="94">
        <f>AN40+AF40+X40+P40+H40</f>
        <v>151173.5828781979</v>
      </c>
      <c r="AW40" s="9">
        <f>SUM((AP40*AO40/100),(Z40*Y40/100),(R40*Q40/100),(J40*I40/100))/AX40*100</f>
        <v>0.6436763588053074</v>
      </c>
      <c r="AX40" s="94">
        <f>AP40+AH40+Z40+R40+J40</f>
        <v>180666.65956301749</v>
      </c>
      <c r="AY40" s="9">
        <f>SUM((AR40*AQ40/100),(AB40*AA40/100),(T40*S40/100),(L40*K40/100))/AZ40*100</f>
        <v>0.5626681434601705</v>
      </c>
      <c r="AZ40" s="94">
        <f>AR40+AJ40+AB40+T40+L40</f>
        <v>162809.74246085633</v>
      </c>
    </row>
    <row r="41" spans="2:52" ht="12.75">
      <c r="B41" s="3" t="s">
        <v>56</v>
      </c>
      <c r="C41" s="3"/>
      <c r="D41" s="16" t="s">
        <v>54</v>
      </c>
      <c r="E41" s="40">
        <f>F33/F41*100</f>
        <v>18.656716417910445</v>
      </c>
      <c r="F41" s="92">
        <f>F30+F32+F34</f>
        <v>611.606931715482</v>
      </c>
      <c r="G41" s="99">
        <f>H33/H41*100</f>
        <v>9.861932938856015</v>
      </c>
      <c r="H41" s="92">
        <f>H30+H32+H34</f>
        <v>820.939888775652</v>
      </c>
      <c r="I41" s="99">
        <f>J33/J41*100</f>
        <v>15.19756838905775</v>
      </c>
      <c r="J41" s="92">
        <f>J30+J32+J34</f>
        <v>2418.6547245662973</v>
      </c>
      <c r="K41" s="99">
        <f>L33/L41*100</f>
        <v>14.609544876326735</v>
      </c>
      <c r="L41" s="92">
        <f>AVERAGE(F41,H41,J41)</f>
        <v>1283.733848352477</v>
      </c>
      <c r="M41" s="92">
        <f>N32/N41*100</f>
        <v>6.250000000000002</v>
      </c>
      <c r="N41" s="92">
        <f>N30+N32+N34</f>
        <v>11337.762506741497</v>
      </c>
      <c r="O41" s="92">
        <f>P32/P41*100</f>
        <v>5.882352941176469</v>
      </c>
      <c r="P41" s="92">
        <f>P30+P32+P34</f>
        <v>11505.820842863412</v>
      </c>
      <c r="Q41" s="92">
        <f>R32/R41*100</f>
        <v>5.882352941176472</v>
      </c>
      <c r="R41" s="92">
        <f>R30+R32+R34</f>
        <v>13481.441520656099</v>
      </c>
      <c r="S41" s="92">
        <f>T32/T41*100</f>
        <v>5.997102898103707</v>
      </c>
      <c r="T41" s="92">
        <f>T30+T32+T34</f>
        <v>12108.341623420334</v>
      </c>
      <c r="U41" s="92">
        <f>V32/V41*100</f>
        <v>0.5524861878453038</v>
      </c>
      <c r="V41" s="92">
        <f>V30+V32+V34</f>
        <v>6386.134441192803</v>
      </c>
      <c r="W41" s="92">
        <f>X32/X41*100</f>
        <v>0.5938242280285037</v>
      </c>
      <c r="X41" s="92">
        <f>X30+X32+X34</f>
        <v>5879.707194410994</v>
      </c>
      <c r="Y41" s="92">
        <f>Z32/Z41*100</f>
        <v>0.6729475100942125</v>
      </c>
      <c r="Z41" s="92">
        <f>Z30+Z32+Z34</f>
        <v>5670.8003733410615</v>
      </c>
      <c r="AA41" s="92">
        <f>AB32/AB41*100</f>
        <v>0.6041216992742775</v>
      </c>
      <c r="AB41" s="92">
        <f>AB30+AB32+AB34</f>
        <v>5978.880669648286</v>
      </c>
      <c r="AC41" s="92"/>
      <c r="AD41" s="92">
        <f>AD30+AD32+AD34</f>
        <v>95444.37140944992</v>
      </c>
      <c r="AE41" s="92"/>
      <c r="AF41" s="92">
        <f>AF30+AF32+AF34</f>
        <v>92052.27824493899</v>
      </c>
      <c r="AG41" s="92"/>
      <c r="AH41" s="92">
        <f>AH30+AH32+AH34</f>
        <v>106099.9663369409</v>
      </c>
      <c r="AI41" s="92"/>
      <c r="AJ41" s="92">
        <f>AJ30+AJ32+AJ34</f>
        <v>97513.27079062635</v>
      </c>
      <c r="AK41" s="75">
        <v>100</v>
      </c>
      <c r="AL41" s="9">
        <f>AL30+AL32+AL34</f>
        <v>8.700010037578307</v>
      </c>
      <c r="AM41" s="75">
        <f>SUM(AN34,AN32)/AN41*100</f>
        <v>33.33333333333333</v>
      </c>
      <c r="AN41" s="9">
        <f>AN30+AN32+AN34</f>
        <v>11.62576238552915</v>
      </c>
      <c r="AO41" s="75">
        <v>100</v>
      </c>
      <c r="AP41" s="9">
        <f>AP30+AP32+AP34</f>
        <v>6.91769455791669</v>
      </c>
      <c r="AQ41" s="9">
        <f>SUM((AL41*AK41/100),(AN41*AM41/100),(AP41*AO41/100))/AR41*100/3</f>
        <v>71.5509473797227</v>
      </c>
      <c r="AR41" s="9">
        <f>AR30+AR32+AR34</f>
        <v>9.081155660341382</v>
      </c>
      <c r="AS41" s="9">
        <f>SUM((AL41*AK41/100),(V41*U41/100),(N41*M41/100),(F41*E41/100))/AT41*100</f>
        <v>0.7616744000860656</v>
      </c>
      <c r="AT41" s="94">
        <f>AL41+AD41+V41+N41+F41</f>
        <v>113788.57529913726</v>
      </c>
      <c r="AU41" s="9">
        <f>SUM((AN41*AM41/100),(X41*W41/100),(P41*O41/100),(H41*G41/100))/AV41*100</f>
        <v>0.7223734699320562</v>
      </c>
      <c r="AV41" s="94">
        <f>AN41+AF41+X41+P41+H41</f>
        <v>110270.37193337458</v>
      </c>
      <c r="AW41" s="9">
        <f>SUM((AP41*AO41/100),(Z41*Y41/100),(R41*Q41/100),(J41*I41/100))/AX41*100</f>
        <v>0.9443161339416498</v>
      </c>
      <c r="AX41" s="94">
        <f>AP41+AH41+Z41+R41+J41</f>
        <v>127677.78065006227</v>
      </c>
      <c r="AY41" s="9">
        <f>SUM((AR41*AQ41/100),(AB41*AA41/100),(T41*S41/100),(L41*K41/100))/AZ41*100</f>
        <v>0.8181090629821225</v>
      </c>
      <c r="AZ41" s="94">
        <f>AR41+AJ41+AB41+T41+L41</f>
        <v>116893.30808770779</v>
      </c>
    </row>
    <row r="42" spans="2:25" ht="12.75">
      <c r="B42" s="3"/>
      <c r="C42" s="3"/>
      <c r="D42" s="3"/>
      <c r="E42" s="40"/>
      <c r="F42"/>
      <c r="G42"/>
      <c r="H42"/>
      <c r="I42"/>
      <c r="J42"/>
      <c r="K42"/>
      <c r="L42"/>
      <c r="M42"/>
      <c r="N42"/>
      <c r="O42"/>
      <c r="P42" s="38"/>
      <c r="Q42" s="38"/>
      <c r="R42" s="38"/>
      <c r="S42" s="38"/>
      <c r="T42" s="17"/>
      <c r="U42" s="17"/>
      <c r="V42" s="17"/>
      <c r="W42" s="17"/>
      <c r="X42" s="38"/>
      <c r="Y42" s="38"/>
    </row>
    <row r="43" spans="1:52" ht="12.75">
      <c r="A43" s="3" t="s">
        <v>97</v>
      </c>
      <c r="B43" s="37" t="s">
        <v>133</v>
      </c>
      <c r="C43" s="37" t="s">
        <v>139</v>
      </c>
      <c r="D43" s="16"/>
      <c r="E43" s="38"/>
      <c r="F43" s="58" t="s">
        <v>188</v>
      </c>
      <c r="G43" s="58"/>
      <c r="H43" s="58" t="s">
        <v>189</v>
      </c>
      <c r="I43" s="58"/>
      <c r="J43" s="58" t="s">
        <v>190</v>
      </c>
      <c r="K43" s="58"/>
      <c r="L43" s="40" t="s">
        <v>161</v>
      </c>
      <c r="M43" s="40"/>
      <c r="N43" s="58" t="s">
        <v>188</v>
      </c>
      <c r="O43" s="58"/>
      <c r="P43" s="58" t="s">
        <v>189</v>
      </c>
      <c r="Q43" s="58"/>
      <c r="R43" s="58" t="s">
        <v>190</v>
      </c>
      <c r="S43" s="58"/>
      <c r="T43" s="40" t="s">
        <v>161</v>
      </c>
      <c r="U43" s="40"/>
      <c r="V43" s="58" t="s">
        <v>188</v>
      </c>
      <c r="W43" s="58"/>
      <c r="X43" s="58" t="s">
        <v>189</v>
      </c>
      <c r="Y43" s="58"/>
      <c r="Z43" s="58" t="s">
        <v>190</v>
      </c>
      <c r="AA43" s="58"/>
      <c r="AB43" s="40" t="s">
        <v>161</v>
      </c>
      <c r="AC43" s="40"/>
      <c r="AD43" s="58" t="s">
        <v>188</v>
      </c>
      <c r="AE43" s="58"/>
      <c r="AF43" s="58" t="s">
        <v>189</v>
      </c>
      <c r="AG43" s="58"/>
      <c r="AH43" s="58" t="s">
        <v>190</v>
      </c>
      <c r="AI43" s="58"/>
      <c r="AJ43" s="40" t="s">
        <v>161</v>
      </c>
      <c r="AK43" s="40"/>
      <c r="AL43" s="58" t="s">
        <v>188</v>
      </c>
      <c r="AM43" s="58"/>
      <c r="AN43" s="58" t="s">
        <v>189</v>
      </c>
      <c r="AO43" s="58"/>
      <c r="AP43" s="58" t="s">
        <v>190</v>
      </c>
      <c r="AQ43" s="58"/>
      <c r="AR43" s="40" t="s">
        <v>161</v>
      </c>
      <c r="AS43" s="40"/>
      <c r="AT43" s="58" t="s">
        <v>188</v>
      </c>
      <c r="AU43" s="58"/>
      <c r="AV43" s="58" t="s">
        <v>189</v>
      </c>
      <c r="AW43" s="58"/>
      <c r="AX43" s="58" t="s">
        <v>190</v>
      </c>
      <c r="AY43" s="58"/>
      <c r="AZ43" s="40" t="s">
        <v>161</v>
      </c>
    </row>
    <row r="44" spans="2:52" ht="12.75">
      <c r="B44" s="37"/>
      <c r="C44" s="37"/>
      <c r="D44" s="16"/>
      <c r="E44" s="38"/>
      <c r="F44" s="58"/>
      <c r="G44" s="58"/>
      <c r="H44" s="58"/>
      <c r="I44" s="58"/>
      <c r="J44" s="58"/>
      <c r="K44" s="58"/>
      <c r="L44" s="40"/>
      <c r="M44" s="40"/>
      <c r="N44" s="58"/>
      <c r="O44" s="58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</row>
    <row r="45" spans="2:52" ht="12.75">
      <c r="B45" s="16" t="s">
        <v>265</v>
      </c>
      <c r="C45" s="37"/>
      <c r="D45" s="16"/>
      <c r="E45" s="38"/>
      <c r="F45" s="58" t="s">
        <v>292</v>
      </c>
      <c r="G45" s="58"/>
      <c r="H45" s="58" t="s">
        <v>292</v>
      </c>
      <c r="I45" s="58"/>
      <c r="J45" s="58" t="s">
        <v>292</v>
      </c>
      <c r="K45" s="58"/>
      <c r="L45" s="58" t="s">
        <v>292</v>
      </c>
      <c r="M45" s="40"/>
      <c r="N45" s="58" t="s">
        <v>293</v>
      </c>
      <c r="O45" s="58"/>
      <c r="P45" s="40" t="s">
        <v>293</v>
      </c>
      <c r="Q45" s="40"/>
      <c r="R45" s="58" t="s">
        <v>293</v>
      </c>
      <c r="S45" s="58"/>
      <c r="T45" s="40" t="s">
        <v>293</v>
      </c>
      <c r="U45" s="40"/>
      <c r="V45" s="40" t="s">
        <v>294</v>
      </c>
      <c r="W45" s="40"/>
      <c r="X45" s="40" t="s">
        <v>294</v>
      </c>
      <c r="Y45" s="40"/>
      <c r="Z45" s="40" t="s">
        <v>294</v>
      </c>
      <c r="AA45" s="40"/>
      <c r="AB45" s="40" t="s">
        <v>294</v>
      </c>
      <c r="AC45" s="40"/>
      <c r="AD45" s="40" t="s">
        <v>295</v>
      </c>
      <c r="AE45" s="40"/>
      <c r="AF45" s="40" t="s">
        <v>295</v>
      </c>
      <c r="AG45" s="40"/>
      <c r="AH45" s="40" t="s">
        <v>295</v>
      </c>
      <c r="AI45" s="40"/>
      <c r="AJ45" s="40" t="s">
        <v>295</v>
      </c>
      <c r="AK45" s="40"/>
      <c r="AL45" s="40" t="s">
        <v>296</v>
      </c>
      <c r="AM45" s="40"/>
      <c r="AN45" s="40" t="s">
        <v>296</v>
      </c>
      <c r="AO45" s="40"/>
      <c r="AP45" s="40" t="s">
        <v>296</v>
      </c>
      <c r="AQ45" s="40"/>
      <c r="AR45" s="40" t="s">
        <v>296</v>
      </c>
      <c r="AS45" s="40"/>
      <c r="AT45" s="40" t="s">
        <v>297</v>
      </c>
      <c r="AU45" s="40"/>
      <c r="AV45" s="40" t="s">
        <v>297</v>
      </c>
      <c r="AW45" s="40"/>
      <c r="AX45" s="40" t="s">
        <v>297</v>
      </c>
      <c r="AY45" s="40"/>
      <c r="AZ45" s="40" t="s">
        <v>297</v>
      </c>
    </row>
    <row r="46" spans="2:52" ht="12.75">
      <c r="B46" s="16" t="s">
        <v>266</v>
      </c>
      <c r="C46" s="16"/>
      <c r="D46" s="16"/>
      <c r="E46" s="38"/>
      <c r="F46" s="58" t="s">
        <v>118</v>
      </c>
      <c r="G46" s="58"/>
      <c r="H46" s="58" t="s">
        <v>118</v>
      </c>
      <c r="I46" s="58"/>
      <c r="J46" s="58" t="s">
        <v>118</v>
      </c>
      <c r="K46" s="58"/>
      <c r="L46" s="58" t="s">
        <v>118</v>
      </c>
      <c r="N46" s="3" t="s">
        <v>199</v>
      </c>
      <c r="P46" s="3" t="s">
        <v>199</v>
      </c>
      <c r="R46" s="3" t="s">
        <v>199</v>
      </c>
      <c r="T46" s="3" t="s">
        <v>199</v>
      </c>
      <c r="V46" s="3" t="s">
        <v>268</v>
      </c>
      <c r="X46" s="3" t="s">
        <v>268</v>
      </c>
      <c r="Z46" s="3" t="s">
        <v>268</v>
      </c>
      <c r="AB46" s="3" t="s">
        <v>268</v>
      </c>
      <c r="AD46" s="40" t="s">
        <v>53</v>
      </c>
      <c r="AE46" s="40"/>
      <c r="AF46" s="40" t="s">
        <v>53</v>
      </c>
      <c r="AG46" s="40"/>
      <c r="AH46" s="40" t="s">
        <v>53</v>
      </c>
      <c r="AI46" s="40"/>
      <c r="AJ46" s="40" t="s">
        <v>53</v>
      </c>
      <c r="AL46" s="3" t="s">
        <v>269</v>
      </c>
      <c r="AN46" s="3" t="s">
        <v>269</v>
      </c>
      <c r="AP46" s="3" t="s">
        <v>269</v>
      </c>
      <c r="AR46" s="3" t="s">
        <v>269</v>
      </c>
      <c r="AT46" s="40" t="s">
        <v>24</v>
      </c>
      <c r="AU46" s="40"/>
      <c r="AV46" s="40" t="s">
        <v>24</v>
      </c>
      <c r="AW46" s="40"/>
      <c r="AX46" s="40" t="s">
        <v>24</v>
      </c>
      <c r="AY46" s="40"/>
      <c r="AZ46" s="40" t="s">
        <v>24</v>
      </c>
    </row>
    <row r="47" spans="2:52" s="38" customFormat="1" ht="12.75">
      <c r="B47" s="16" t="s">
        <v>298</v>
      </c>
      <c r="C47" s="16"/>
      <c r="D47" s="16"/>
      <c r="F47" s="58" t="s">
        <v>118</v>
      </c>
      <c r="G47" s="58"/>
      <c r="H47" s="58" t="s">
        <v>118</v>
      </c>
      <c r="I47" s="58"/>
      <c r="J47" s="58" t="s">
        <v>118</v>
      </c>
      <c r="K47" s="58"/>
      <c r="L47" s="58" t="s">
        <v>118</v>
      </c>
      <c r="N47" s="40" t="s">
        <v>299</v>
      </c>
      <c r="P47" s="27" t="s">
        <v>299</v>
      </c>
      <c r="R47" s="40" t="s">
        <v>299</v>
      </c>
      <c r="T47" s="27" t="s">
        <v>299</v>
      </c>
      <c r="V47" s="27" t="s">
        <v>61</v>
      </c>
      <c r="X47" s="27" t="s">
        <v>61</v>
      </c>
      <c r="Z47" s="27" t="s">
        <v>61</v>
      </c>
      <c r="AB47" s="27" t="s">
        <v>61</v>
      </c>
      <c r="AD47" s="40" t="s">
        <v>53</v>
      </c>
      <c r="AE47" s="40"/>
      <c r="AF47" s="40" t="s">
        <v>53</v>
      </c>
      <c r="AG47" s="40"/>
      <c r="AH47" s="40" t="s">
        <v>53</v>
      </c>
      <c r="AI47" s="40"/>
      <c r="AJ47" s="40" t="s">
        <v>53</v>
      </c>
      <c r="AL47" s="27" t="s">
        <v>300</v>
      </c>
      <c r="AN47" s="27" t="s">
        <v>300</v>
      </c>
      <c r="AP47" s="27" t="s">
        <v>300</v>
      </c>
      <c r="AR47" s="27" t="s">
        <v>300</v>
      </c>
      <c r="AT47" s="40" t="s">
        <v>24</v>
      </c>
      <c r="AU47" s="40"/>
      <c r="AV47" s="40" t="s">
        <v>24</v>
      </c>
      <c r="AW47" s="40"/>
      <c r="AX47" s="40" t="s">
        <v>24</v>
      </c>
      <c r="AY47" s="40"/>
      <c r="AZ47" s="40" t="s">
        <v>24</v>
      </c>
    </row>
    <row r="48" spans="2:52" ht="12.75">
      <c r="B48" s="16" t="s">
        <v>47</v>
      </c>
      <c r="C48" s="16"/>
      <c r="D48" s="16"/>
      <c r="E48" s="38"/>
      <c r="F48" s="58" t="s">
        <v>118</v>
      </c>
      <c r="G48" s="58"/>
      <c r="H48" s="58" t="s">
        <v>118</v>
      </c>
      <c r="I48" s="58"/>
      <c r="J48" s="58" t="s">
        <v>118</v>
      </c>
      <c r="K48" s="58"/>
      <c r="L48" s="58" t="s">
        <v>118</v>
      </c>
      <c r="M48" s="58"/>
      <c r="N48" s="40" t="s">
        <v>141</v>
      </c>
      <c r="O48" s="40"/>
      <c r="P48" s="40" t="s">
        <v>141</v>
      </c>
      <c r="Q48" s="40"/>
      <c r="R48" s="40" t="s">
        <v>141</v>
      </c>
      <c r="S48" s="40"/>
      <c r="T48" s="40" t="s">
        <v>141</v>
      </c>
      <c r="U48" s="40"/>
      <c r="V48" s="40" t="s">
        <v>142</v>
      </c>
      <c r="W48" s="40"/>
      <c r="X48" s="40" t="s">
        <v>142</v>
      </c>
      <c r="Y48" s="40"/>
      <c r="Z48" s="40" t="s">
        <v>142</v>
      </c>
      <c r="AA48" s="40"/>
      <c r="AB48" s="40" t="s">
        <v>142</v>
      </c>
      <c r="AC48" s="40"/>
      <c r="AD48" s="40" t="s">
        <v>53</v>
      </c>
      <c r="AE48" s="40"/>
      <c r="AF48" s="40" t="s">
        <v>53</v>
      </c>
      <c r="AG48" s="40"/>
      <c r="AH48" s="40" t="s">
        <v>53</v>
      </c>
      <c r="AI48" s="40"/>
      <c r="AJ48" s="40" t="s">
        <v>53</v>
      </c>
      <c r="AK48" s="40"/>
      <c r="AL48" s="40" t="s">
        <v>143</v>
      </c>
      <c r="AM48" s="40"/>
      <c r="AN48" s="40" t="s">
        <v>143</v>
      </c>
      <c r="AO48" s="40"/>
      <c r="AP48" s="40" t="s">
        <v>143</v>
      </c>
      <c r="AQ48" s="40"/>
      <c r="AR48" s="40" t="s">
        <v>143</v>
      </c>
      <c r="AS48" s="40"/>
      <c r="AT48" s="40" t="s">
        <v>24</v>
      </c>
      <c r="AU48" s="40"/>
      <c r="AV48" s="40" t="s">
        <v>24</v>
      </c>
      <c r="AW48" s="40"/>
      <c r="AX48" s="40" t="s">
        <v>24</v>
      </c>
      <c r="AY48" s="40"/>
      <c r="AZ48" s="40" t="s">
        <v>24</v>
      </c>
    </row>
    <row r="49" spans="2:51" ht="12.75">
      <c r="B49" s="16" t="s">
        <v>98</v>
      </c>
      <c r="C49" s="16"/>
      <c r="D49" s="16" t="s">
        <v>130</v>
      </c>
      <c r="E49" s="38"/>
      <c r="F49" s="92">
        <v>1360000</v>
      </c>
      <c r="G49" s="92"/>
      <c r="H49" s="92">
        <v>998000</v>
      </c>
      <c r="I49" s="92"/>
      <c r="J49" s="92">
        <v>816000</v>
      </c>
      <c r="K49" s="92"/>
      <c r="L49" s="92">
        <f>AVERAGE(J49,H49,F49)</f>
        <v>1058000</v>
      </c>
      <c r="M49" s="92"/>
      <c r="N49" s="92">
        <v>89500000</v>
      </c>
      <c r="O49" s="92"/>
      <c r="P49" s="93">
        <v>90100000</v>
      </c>
      <c r="Q49" s="93"/>
      <c r="R49" s="93">
        <v>87500000</v>
      </c>
      <c r="S49" s="93"/>
      <c r="T49" s="92">
        <f>AVERAGE(R49,P49,N49)</f>
        <v>89033333.33333333</v>
      </c>
      <c r="U49" s="92"/>
      <c r="V49" s="93">
        <v>11100000</v>
      </c>
      <c r="W49" s="93"/>
      <c r="X49" s="93">
        <v>11100000</v>
      </c>
      <c r="Y49" s="93"/>
      <c r="Z49" s="94">
        <v>11200000</v>
      </c>
      <c r="AA49" s="94"/>
      <c r="AB49" s="92">
        <f>AVERAGE(Z49,X49,V49)</f>
        <v>11133333.333333334</v>
      </c>
      <c r="AC49" s="92"/>
      <c r="AD49" s="94"/>
      <c r="AE49" s="94"/>
      <c r="AF49" s="94"/>
      <c r="AG49" s="94"/>
      <c r="AH49" s="94"/>
      <c r="AI49" s="94"/>
      <c r="AJ49" s="93"/>
      <c r="AK49" s="93"/>
      <c r="AL49" s="94">
        <v>289000</v>
      </c>
      <c r="AM49" s="94"/>
      <c r="AN49" s="94">
        <v>282000</v>
      </c>
      <c r="AO49" s="94"/>
      <c r="AP49" s="94">
        <v>276000</v>
      </c>
      <c r="AQ49" s="94"/>
      <c r="AR49" s="92">
        <f>AVERAGE(AP49,AN49,AL49)</f>
        <v>282333.3333333333</v>
      </c>
      <c r="AS49" s="71"/>
      <c r="AT49" s="71"/>
      <c r="AU49" s="71"/>
      <c r="AV49" s="71"/>
      <c r="AW49" s="71"/>
      <c r="AX49" s="71"/>
      <c r="AY49" s="71"/>
    </row>
    <row r="50" spans="2:52" ht="12.75">
      <c r="B50" s="16" t="s">
        <v>301</v>
      </c>
      <c r="C50" s="16"/>
      <c r="D50" s="16" t="s">
        <v>52</v>
      </c>
      <c r="E50" s="38"/>
      <c r="F50" s="9">
        <v>36.3</v>
      </c>
      <c r="G50" s="9"/>
      <c r="H50" s="9">
        <v>22.4</v>
      </c>
      <c r="I50" s="71"/>
      <c r="J50">
        <v>18</v>
      </c>
      <c r="K50"/>
      <c r="L50" s="9">
        <f>AVERAGE(J50,H50,F50)</f>
        <v>25.566666666666663</v>
      </c>
      <c r="M50" s="71"/>
      <c r="N50">
        <v>0</v>
      </c>
      <c r="O50"/>
      <c r="P50" s="41">
        <v>0</v>
      </c>
      <c r="Q50" s="41"/>
      <c r="R50" s="41">
        <v>0</v>
      </c>
      <c r="S50" s="41"/>
      <c r="T50" s="41">
        <v>0</v>
      </c>
      <c r="U50" s="71"/>
      <c r="V50" s="38">
        <v>305</v>
      </c>
      <c r="W50" s="38"/>
      <c r="X50" s="38">
        <v>309</v>
      </c>
      <c r="Y50" s="38"/>
      <c r="Z50" s="3">
        <v>286</v>
      </c>
      <c r="AB50" s="71">
        <f>AVERAGE(Z50,X50,V50)</f>
        <v>300</v>
      </c>
      <c r="AC50" s="71"/>
      <c r="AL50" s="3">
        <v>9.2</v>
      </c>
      <c r="AN50" s="3">
        <v>9.4</v>
      </c>
      <c r="AP50" s="3">
        <v>9.6</v>
      </c>
      <c r="AR50" s="92">
        <f>AVERAGE(AP50,AN50,AL50)</f>
        <v>9.4</v>
      </c>
      <c r="AS50" s="92"/>
      <c r="AT50" s="94">
        <f>AL50+V50+N50+F50</f>
        <v>350.5</v>
      </c>
      <c r="AU50" s="92"/>
      <c r="AV50" s="94">
        <f>AN50+X50+P50+H50</f>
        <v>340.79999999999995</v>
      </c>
      <c r="AW50" s="92"/>
      <c r="AX50" s="94">
        <f>AP50+Z50+R50+J50</f>
        <v>313.6</v>
      </c>
      <c r="AY50" s="92"/>
      <c r="AZ50" s="94">
        <f>AR50+AB50+T50+L50</f>
        <v>334.96666666666664</v>
      </c>
    </row>
    <row r="51" spans="2:25" ht="12.75">
      <c r="B51" s="16"/>
      <c r="C51" s="16"/>
      <c r="D51" s="16"/>
      <c r="E51" s="38"/>
      <c r="F51"/>
      <c r="G51"/>
      <c r="H51"/>
      <c r="I51"/>
      <c r="J51"/>
      <c r="K51"/>
      <c r="L51"/>
      <c r="M51"/>
      <c r="N51"/>
      <c r="O51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2:25" ht="12.75">
      <c r="B52" s="16" t="s">
        <v>59</v>
      </c>
      <c r="C52" s="16"/>
      <c r="D52" s="16" t="s">
        <v>16</v>
      </c>
      <c r="E52" s="38"/>
      <c r="F52"/>
      <c r="G52"/>
      <c r="H52"/>
      <c r="I52"/>
      <c r="J52"/>
      <c r="K52"/>
      <c r="L52"/>
      <c r="M52"/>
      <c r="N52"/>
      <c r="O52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2:25" ht="12.75">
      <c r="B53" s="16" t="s">
        <v>60</v>
      </c>
      <c r="C53" s="16"/>
      <c r="D53" s="16" t="s">
        <v>17</v>
      </c>
      <c r="E53" s="38"/>
      <c r="F53"/>
      <c r="G53"/>
      <c r="H53"/>
      <c r="I53"/>
      <c r="J53"/>
      <c r="K53"/>
      <c r="L53"/>
      <c r="M53"/>
      <c r="N53"/>
      <c r="O53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2:25" ht="12.75">
      <c r="B54" s="16"/>
      <c r="C54" s="16"/>
      <c r="D54" s="16"/>
      <c r="E54" s="40"/>
      <c r="F54"/>
      <c r="G54"/>
      <c r="H54"/>
      <c r="I54"/>
      <c r="J54"/>
      <c r="K54"/>
      <c r="L54"/>
      <c r="M54"/>
      <c r="N54"/>
      <c r="O54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2:25" ht="12.75">
      <c r="B55" s="16"/>
      <c r="C55" s="16"/>
      <c r="D55" s="16"/>
      <c r="E55" s="40"/>
      <c r="F55" s="42"/>
      <c r="G55" s="42"/>
      <c r="H55" s="40"/>
      <c r="I55" s="40"/>
      <c r="J55" s="42"/>
      <c r="K55" s="42"/>
      <c r="L55" s="39"/>
      <c r="M55" s="39"/>
      <c r="N55" s="39"/>
      <c r="O55" s="39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2:25" ht="12.75">
      <c r="B56" s="16"/>
      <c r="C56" s="16"/>
      <c r="D56" s="16"/>
      <c r="E56" s="38"/>
      <c r="F56" s="17"/>
      <c r="G56" s="17"/>
      <c r="H56" s="40"/>
      <c r="I56" s="40"/>
      <c r="J56" s="17"/>
      <c r="K56" s="17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2:25" ht="12.75">
      <c r="B57" s="16"/>
      <c r="C57" s="16"/>
      <c r="D57" s="16"/>
      <c r="E57" s="38"/>
      <c r="F57" s="17"/>
      <c r="G57" s="17"/>
      <c r="H57" s="40"/>
      <c r="I57" s="40"/>
      <c r="J57" s="17"/>
      <c r="K57" s="17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2:25" ht="12.75">
      <c r="B58" s="16"/>
      <c r="C58" s="16"/>
      <c r="D58" s="16"/>
      <c r="E58" s="38"/>
      <c r="F58" s="17"/>
      <c r="G58" s="17"/>
      <c r="H58" s="40"/>
      <c r="I58" s="40"/>
      <c r="J58" s="17"/>
      <c r="K58" s="17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2:25" ht="12.75">
      <c r="B59" s="16"/>
      <c r="C59" s="16"/>
      <c r="D59" s="16"/>
      <c r="E59" s="38"/>
      <c r="F59" s="17"/>
      <c r="G59" s="17"/>
      <c r="H59" s="40"/>
      <c r="I59" s="40"/>
      <c r="J59" s="17"/>
      <c r="K59" s="1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2:25" ht="12.75">
      <c r="B60" s="16"/>
      <c r="C60" s="16"/>
      <c r="D60" s="16"/>
      <c r="E60" s="38"/>
      <c r="F60" s="17"/>
      <c r="G60" s="17"/>
      <c r="H60" s="40"/>
      <c r="I60" s="40"/>
      <c r="J60" s="17"/>
      <c r="K60" s="1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2:25" ht="12.75">
      <c r="B61" s="16"/>
      <c r="C61" s="16"/>
      <c r="D61" s="16"/>
      <c r="E61" s="38"/>
      <c r="F61" s="17"/>
      <c r="G61" s="17"/>
      <c r="H61" s="40"/>
      <c r="I61" s="40"/>
      <c r="J61" s="17"/>
      <c r="K61" s="17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2:25" ht="12.75">
      <c r="B62" s="16"/>
      <c r="C62" s="16"/>
      <c r="D62" s="16"/>
      <c r="E62" s="38"/>
      <c r="F62" s="17"/>
      <c r="G62" s="17"/>
      <c r="H62" s="40"/>
      <c r="I62" s="40"/>
      <c r="J62" s="17"/>
      <c r="K62" s="1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2:25" ht="12.75">
      <c r="B63" s="16"/>
      <c r="C63" s="16"/>
      <c r="D63" s="16"/>
      <c r="E63" s="38"/>
      <c r="F63" s="17"/>
      <c r="G63" s="17"/>
      <c r="H63" s="40"/>
      <c r="I63" s="40"/>
      <c r="J63" s="17"/>
      <c r="K63" s="1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2:25" ht="12.75">
      <c r="B64" s="16"/>
      <c r="C64" s="16"/>
      <c r="D64" s="16"/>
      <c r="E64" s="38"/>
      <c r="F64" s="17"/>
      <c r="G64" s="17"/>
      <c r="H64" s="17"/>
      <c r="I64" s="17"/>
      <c r="J64" s="17"/>
      <c r="K64" s="17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2:25" ht="12.75">
      <c r="B65" s="16"/>
      <c r="C65" s="16"/>
      <c r="D65" s="16"/>
      <c r="E65" s="38"/>
      <c r="F65" s="17"/>
      <c r="G65" s="17"/>
      <c r="H65" s="17"/>
      <c r="I65" s="17"/>
      <c r="J65" s="17"/>
      <c r="K65" s="1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2:25" ht="12.75">
      <c r="B66" s="16"/>
      <c r="C66" s="16"/>
      <c r="D66" s="16"/>
      <c r="E66" s="38"/>
      <c r="F66" s="39"/>
      <c r="G66" s="39"/>
      <c r="H66" s="40"/>
      <c r="I66" s="40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</sheetData>
  <printOptions headings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93"/>
  <sheetViews>
    <sheetView zoomScale="75" zoomScaleNormal="75" workbookViewId="0" topLeftCell="B1">
      <selection activeCell="C6" sqref="C6"/>
    </sheetView>
  </sheetViews>
  <sheetFormatPr defaultColWidth="9.140625" defaultRowHeight="12.75"/>
  <cols>
    <col min="1" max="1" width="8.28125" style="82" hidden="1" customWidth="1"/>
    <col min="2" max="2" width="19.8515625" style="82" customWidth="1"/>
    <col min="3" max="3" width="4.00390625" style="82" customWidth="1"/>
    <col min="4" max="4" width="8.8515625" style="82" customWidth="1"/>
    <col min="5" max="5" width="4.421875" style="88" customWidth="1"/>
    <col min="6" max="6" width="11.140625" style="82" customWidth="1"/>
    <col min="7" max="7" width="5.28125" style="88" customWidth="1"/>
    <col min="8" max="8" width="13.00390625" style="82" customWidth="1"/>
    <col min="9" max="9" width="6.140625" style="88" customWidth="1"/>
    <col min="10" max="10" width="13.57421875" style="82" customWidth="1"/>
    <col min="11" max="11" width="3.57421875" style="88" customWidth="1"/>
    <col min="12" max="12" width="12.7109375" style="82" customWidth="1"/>
    <col min="13" max="13" width="3.7109375" style="88" customWidth="1"/>
    <col min="14" max="14" width="14.28125" style="82" customWidth="1"/>
    <col min="15" max="15" width="4.57421875" style="88" customWidth="1"/>
    <col min="16" max="16" width="14.57421875" style="82" customWidth="1"/>
    <col min="17" max="17" width="4.140625" style="88" bestFit="1" customWidth="1"/>
    <col min="18" max="18" width="14.57421875" style="82" customWidth="1"/>
    <col min="19" max="19" width="4.140625" style="88" bestFit="1" customWidth="1"/>
    <col min="20" max="20" width="13.00390625" style="82" customWidth="1"/>
    <col min="21" max="21" width="4.8515625" style="82" customWidth="1"/>
    <col min="22" max="22" width="14.28125" style="82" customWidth="1"/>
    <col min="23" max="23" width="4.421875" style="82" customWidth="1"/>
    <col min="24" max="24" width="11.7109375" style="82" customWidth="1"/>
    <col min="25" max="25" width="2.7109375" style="82" customWidth="1"/>
    <col min="26" max="26" width="12.421875" style="82" customWidth="1"/>
    <col min="27" max="27" width="2.8515625" style="82" customWidth="1"/>
    <col min="28" max="28" width="15.140625" style="82" customWidth="1"/>
    <col min="29" max="29" width="5.140625" style="82" customWidth="1"/>
    <col min="30" max="30" width="11.57421875" style="82" customWidth="1"/>
    <col min="31" max="31" width="4.00390625" style="82" customWidth="1"/>
    <col min="32" max="32" width="9.00390625" style="82" customWidth="1"/>
    <col min="33" max="33" width="4.00390625" style="82" bestFit="1" customWidth="1"/>
    <col min="34" max="34" width="8.00390625" style="82" customWidth="1"/>
    <col min="35" max="35" width="4.57421875" style="82" customWidth="1"/>
    <col min="36" max="36" width="9.421875" style="82" customWidth="1"/>
    <col min="37" max="37" width="3.8515625" style="82" customWidth="1"/>
    <col min="38" max="38" width="11.28125" style="82" customWidth="1"/>
    <col min="39" max="39" width="4.140625" style="82" customWidth="1"/>
    <col min="40" max="40" width="10.8515625" style="82" customWidth="1"/>
    <col min="41" max="41" width="3.8515625" style="82" customWidth="1"/>
    <col min="42" max="42" width="11.421875" style="82" customWidth="1"/>
    <col min="43" max="43" width="2.57421875" style="82" hidden="1" customWidth="1"/>
    <col min="44" max="45" width="0" style="82" hidden="1" customWidth="1"/>
    <col min="46" max="46" width="8.140625" style="82" hidden="1" customWidth="1"/>
    <col min="47" max="47" width="7.8515625" style="82" hidden="1" customWidth="1"/>
    <col min="48" max="48" width="8.8515625" style="82" hidden="1" customWidth="1"/>
    <col min="49" max="16384" width="9.140625" style="82" customWidth="1"/>
  </cols>
  <sheetData>
    <row r="1" spans="2:48" ht="12.75">
      <c r="B1" s="24" t="s">
        <v>256</v>
      </c>
      <c r="C1" s="24"/>
      <c r="AS1" s="82" t="s">
        <v>61</v>
      </c>
      <c r="AT1" s="82" t="s">
        <v>53</v>
      </c>
      <c r="AU1" s="82" t="s">
        <v>63</v>
      </c>
      <c r="AV1" s="82" t="s">
        <v>24</v>
      </c>
    </row>
    <row r="4" spans="1:42" ht="12.75">
      <c r="A4" s="82" t="s">
        <v>97</v>
      </c>
      <c r="B4" s="24" t="s">
        <v>162</v>
      </c>
      <c r="C4" s="24"/>
      <c r="D4" s="24"/>
      <c r="F4" s="88" t="s">
        <v>188</v>
      </c>
      <c r="H4" s="88" t="s">
        <v>189</v>
      </c>
      <c r="J4" s="88" t="s">
        <v>190</v>
      </c>
      <c r="L4" s="88" t="s">
        <v>188</v>
      </c>
      <c r="N4" s="88" t="s">
        <v>189</v>
      </c>
      <c r="P4" s="88" t="s">
        <v>190</v>
      </c>
      <c r="R4" s="88" t="s">
        <v>188</v>
      </c>
      <c r="T4" s="88" t="s">
        <v>189</v>
      </c>
      <c r="U4" s="88"/>
      <c r="V4" s="88" t="s">
        <v>190</v>
      </c>
      <c r="W4" s="88"/>
      <c r="X4" s="88" t="s">
        <v>188</v>
      </c>
      <c r="Y4" s="88"/>
      <c r="Z4" s="88" t="s">
        <v>189</v>
      </c>
      <c r="AA4" s="88"/>
      <c r="AB4" s="88" t="s">
        <v>190</v>
      </c>
      <c r="AC4" s="88"/>
      <c r="AD4" s="88" t="s">
        <v>188</v>
      </c>
      <c r="AE4" s="88"/>
      <c r="AF4" s="88" t="s">
        <v>189</v>
      </c>
      <c r="AG4" s="88"/>
      <c r="AH4" s="88" t="s">
        <v>190</v>
      </c>
      <c r="AI4" s="88"/>
      <c r="AJ4" s="88" t="s">
        <v>188</v>
      </c>
      <c r="AK4" s="88"/>
      <c r="AL4" s="88" t="s">
        <v>189</v>
      </c>
      <c r="AM4" s="88"/>
      <c r="AN4" s="88" t="s">
        <v>190</v>
      </c>
      <c r="AO4" s="88"/>
      <c r="AP4" s="88" t="s">
        <v>161</v>
      </c>
    </row>
    <row r="5" spans="2:42" ht="12.75">
      <c r="B5" s="24"/>
      <c r="C5" s="24"/>
      <c r="D5" s="24"/>
      <c r="F5" s="88"/>
      <c r="H5" s="88"/>
      <c r="J5" s="88"/>
      <c r="L5" s="88"/>
      <c r="N5" s="88"/>
      <c r="P5" s="88"/>
      <c r="R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2:42" ht="12.75">
      <c r="B6" s="16" t="s">
        <v>265</v>
      </c>
      <c r="C6" s="16"/>
      <c r="D6" s="24"/>
      <c r="F6" s="88" t="s">
        <v>292</v>
      </c>
      <c r="H6" s="88" t="s">
        <v>292</v>
      </c>
      <c r="J6" s="88" t="s">
        <v>292</v>
      </c>
      <c r="L6" s="88" t="s">
        <v>293</v>
      </c>
      <c r="N6" s="88" t="s">
        <v>293</v>
      </c>
      <c r="P6" s="88" t="s">
        <v>293</v>
      </c>
      <c r="R6" s="88" t="s">
        <v>294</v>
      </c>
      <c r="T6" s="88" t="s">
        <v>294</v>
      </c>
      <c r="U6" s="88"/>
      <c r="V6" s="88" t="s">
        <v>294</v>
      </c>
      <c r="W6" s="88"/>
      <c r="X6" s="88" t="s">
        <v>295</v>
      </c>
      <c r="Y6" s="88"/>
      <c r="Z6" s="88" t="s">
        <v>295</v>
      </c>
      <c r="AA6" s="88"/>
      <c r="AB6" s="88" t="s">
        <v>295</v>
      </c>
      <c r="AC6" s="88"/>
      <c r="AD6" s="88"/>
      <c r="AE6" s="88"/>
      <c r="AF6" s="88"/>
      <c r="AG6" s="88"/>
      <c r="AH6" s="88"/>
      <c r="AI6" s="88"/>
      <c r="AJ6" s="88" t="s">
        <v>296</v>
      </c>
      <c r="AK6" s="88"/>
      <c r="AL6" s="88" t="s">
        <v>296</v>
      </c>
      <c r="AM6" s="88"/>
      <c r="AN6" s="88" t="s">
        <v>296</v>
      </c>
      <c r="AO6" s="88"/>
      <c r="AP6" s="88" t="s">
        <v>296</v>
      </c>
    </row>
    <row r="7" spans="2:42" ht="12.75">
      <c r="B7" s="16" t="s">
        <v>266</v>
      </c>
      <c r="C7" s="16"/>
      <c r="F7" s="88" t="s">
        <v>118</v>
      </c>
      <c r="H7" s="88" t="s">
        <v>118</v>
      </c>
      <c r="J7" s="88" t="s">
        <v>118</v>
      </c>
      <c r="L7" s="88" t="s">
        <v>53</v>
      </c>
      <c r="N7" s="88" t="s">
        <v>53</v>
      </c>
      <c r="P7" s="88" t="s">
        <v>53</v>
      </c>
      <c r="R7" s="88" t="s">
        <v>199</v>
      </c>
      <c r="T7" s="88" t="s">
        <v>199</v>
      </c>
      <c r="U7" s="88"/>
      <c r="V7" s="88" t="s">
        <v>199</v>
      </c>
      <c r="W7" s="88"/>
      <c r="X7" s="88" t="s">
        <v>53</v>
      </c>
      <c r="Y7" s="88"/>
      <c r="Z7" s="88" t="s">
        <v>53</v>
      </c>
      <c r="AA7" s="88"/>
      <c r="AB7" s="88" t="s">
        <v>53</v>
      </c>
      <c r="AC7" s="88"/>
      <c r="AD7" s="88"/>
      <c r="AE7" s="88"/>
      <c r="AF7" s="88"/>
      <c r="AG7" s="88"/>
      <c r="AH7" s="88"/>
      <c r="AI7" s="88"/>
      <c r="AJ7" s="88" t="s">
        <v>24</v>
      </c>
      <c r="AK7" s="88"/>
      <c r="AL7" s="88" t="s">
        <v>24</v>
      </c>
      <c r="AM7" s="88"/>
      <c r="AN7" s="88" t="s">
        <v>24</v>
      </c>
      <c r="AO7" s="88"/>
      <c r="AP7" s="88" t="s">
        <v>24</v>
      </c>
    </row>
    <row r="8" spans="2:42" ht="12.75">
      <c r="B8" s="16" t="s">
        <v>298</v>
      </c>
      <c r="C8" s="16"/>
      <c r="F8" s="88" t="s">
        <v>118</v>
      </c>
      <c r="H8" s="88" t="s">
        <v>118</v>
      </c>
      <c r="J8" s="88" t="s">
        <v>118</v>
      </c>
      <c r="L8" s="88"/>
      <c r="N8" s="88"/>
      <c r="P8" s="88"/>
      <c r="R8" s="88" t="s">
        <v>299</v>
      </c>
      <c r="T8" s="88" t="s">
        <v>299</v>
      </c>
      <c r="U8" s="88"/>
      <c r="V8" s="88" t="s">
        <v>299</v>
      </c>
      <c r="W8" s="88"/>
      <c r="X8" s="88"/>
      <c r="Y8" s="88"/>
      <c r="Z8" s="88"/>
      <c r="AA8" s="88"/>
      <c r="AB8" s="88"/>
      <c r="AC8" s="88"/>
      <c r="AD8" s="88" t="s">
        <v>53</v>
      </c>
      <c r="AE8" s="88"/>
      <c r="AF8" s="88" t="s">
        <v>53</v>
      </c>
      <c r="AG8" s="88"/>
      <c r="AH8" s="88" t="s">
        <v>53</v>
      </c>
      <c r="AI8" s="88"/>
      <c r="AJ8" s="88" t="s">
        <v>24</v>
      </c>
      <c r="AK8" s="88"/>
      <c r="AL8" s="88" t="s">
        <v>24</v>
      </c>
      <c r="AM8" s="88"/>
      <c r="AN8" s="88" t="s">
        <v>24</v>
      </c>
      <c r="AO8" s="88"/>
      <c r="AP8" s="88" t="s">
        <v>24</v>
      </c>
    </row>
    <row r="9" spans="2:42" ht="12.75">
      <c r="B9" s="16" t="s">
        <v>47</v>
      </c>
      <c r="F9" s="88" t="s">
        <v>118</v>
      </c>
      <c r="H9" s="88" t="s">
        <v>118</v>
      </c>
      <c r="J9" s="88" t="s">
        <v>118</v>
      </c>
      <c r="L9" s="88" t="s">
        <v>198</v>
      </c>
      <c r="N9" s="88" t="s">
        <v>198</v>
      </c>
      <c r="P9" s="88" t="s">
        <v>198</v>
      </c>
      <c r="R9" s="88" t="s">
        <v>199</v>
      </c>
      <c r="T9" s="88" t="s">
        <v>199</v>
      </c>
      <c r="U9" s="88"/>
      <c r="V9" s="88" t="s">
        <v>199</v>
      </c>
      <c r="W9" s="88"/>
      <c r="X9" s="88" t="s">
        <v>200</v>
      </c>
      <c r="Y9" s="88"/>
      <c r="Z9" s="88" t="s">
        <v>200</v>
      </c>
      <c r="AA9" s="88"/>
      <c r="AB9" s="88" t="s">
        <v>200</v>
      </c>
      <c r="AC9" s="88"/>
      <c r="AD9" s="88"/>
      <c r="AE9" s="88"/>
      <c r="AF9" s="88"/>
      <c r="AG9" s="88"/>
      <c r="AH9" s="88"/>
      <c r="AI9" s="88"/>
      <c r="AJ9" s="88" t="s">
        <v>24</v>
      </c>
      <c r="AK9" s="88"/>
      <c r="AL9" s="88" t="s">
        <v>24</v>
      </c>
      <c r="AM9" s="88"/>
      <c r="AN9" s="88" t="s">
        <v>24</v>
      </c>
      <c r="AO9" s="88"/>
      <c r="AP9" s="88" t="s">
        <v>24</v>
      </c>
    </row>
    <row r="10" spans="2:42" ht="12.75">
      <c r="B10" s="82" t="s">
        <v>98</v>
      </c>
      <c r="D10" s="82" t="s">
        <v>202</v>
      </c>
      <c r="E10" s="107"/>
      <c r="F10" s="101">
        <v>9200</v>
      </c>
      <c r="G10" s="105"/>
      <c r="H10" s="101">
        <v>11000</v>
      </c>
      <c r="I10" s="105"/>
      <c r="J10" s="101">
        <v>7300</v>
      </c>
      <c r="K10" s="105"/>
      <c r="L10" s="101">
        <v>14000</v>
      </c>
      <c r="M10" s="105"/>
      <c r="N10" s="101">
        <v>14400</v>
      </c>
      <c r="O10" s="105"/>
      <c r="P10" s="101">
        <v>14000</v>
      </c>
      <c r="Q10" s="105"/>
      <c r="R10" s="101">
        <v>197000</v>
      </c>
      <c r="S10" s="105"/>
      <c r="T10" s="101">
        <v>183800</v>
      </c>
      <c r="U10" s="101"/>
      <c r="V10" s="101">
        <v>197600</v>
      </c>
      <c r="W10" s="101"/>
      <c r="X10" s="101">
        <v>0</v>
      </c>
      <c r="Y10" s="101"/>
      <c r="Z10" s="101">
        <v>0</v>
      </c>
      <c r="AA10" s="101"/>
      <c r="AB10" s="101">
        <v>0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</row>
    <row r="11" spans="2:42" ht="12.75">
      <c r="B11" s="82" t="s">
        <v>267</v>
      </c>
      <c r="D11" s="82" t="s">
        <v>204</v>
      </c>
      <c r="E11" s="107"/>
      <c r="F11" s="101">
        <f>F12*1000000/F10</f>
        <v>11739.130434782608</v>
      </c>
      <c r="G11" s="105"/>
      <c r="H11" s="101">
        <v>12000</v>
      </c>
      <c r="I11" s="105"/>
      <c r="J11" s="101">
        <v>12000</v>
      </c>
      <c r="K11" s="105"/>
      <c r="L11" s="101">
        <v>0</v>
      </c>
      <c r="M11" s="105"/>
      <c r="N11" s="101">
        <v>0</v>
      </c>
      <c r="O11" s="105"/>
      <c r="P11" s="101">
        <v>0</v>
      </c>
      <c r="Q11" s="105"/>
      <c r="R11" s="101"/>
      <c r="S11" s="105"/>
      <c r="T11" s="101"/>
      <c r="U11" s="101"/>
      <c r="V11" s="101"/>
      <c r="W11" s="101"/>
      <c r="X11" s="101">
        <v>0</v>
      </c>
      <c r="Y11" s="101"/>
      <c r="Z11" s="101">
        <v>0</v>
      </c>
      <c r="AA11" s="101"/>
      <c r="AB11" s="101">
        <v>0</v>
      </c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</row>
    <row r="12" spans="2:42" ht="12.75">
      <c r="B12" s="12" t="s">
        <v>301</v>
      </c>
      <c r="D12" s="82" t="s">
        <v>52</v>
      </c>
      <c r="E12" s="107"/>
      <c r="F12" s="101">
        <v>108</v>
      </c>
      <c r="G12" s="105"/>
      <c r="H12" s="101">
        <v>135</v>
      </c>
      <c r="I12" s="105"/>
      <c r="J12" s="101">
        <v>111</v>
      </c>
      <c r="K12" s="105"/>
      <c r="L12" s="101">
        <v>165</v>
      </c>
      <c r="M12" s="105"/>
      <c r="N12" s="101">
        <v>165</v>
      </c>
      <c r="O12" s="105"/>
      <c r="P12" s="101">
        <v>170</v>
      </c>
      <c r="Q12" s="105"/>
      <c r="R12" s="101"/>
      <c r="S12" s="105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>
        <f>L12+X12</f>
        <v>165</v>
      </c>
      <c r="AE12" s="101"/>
      <c r="AF12" s="101">
        <f>N12+Z12</f>
        <v>165</v>
      </c>
      <c r="AG12" s="101"/>
      <c r="AH12" s="101">
        <f>P12+AB12</f>
        <v>170</v>
      </c>
      <c r="AI12" s="101"/>
      <c r="AJ12" s="101">
        <f>F12+AD12</f>
        <v>273</v>
      </c>
      <c r="AK12" s="101"/>
      <c r="AL12" s="101">
        <f>H12+AF12</f>
        <v>300</v>
      </c>
      <c r="AM12" s="101"/>
      <c r="AN12" s="101">
        <f>J12+AH12</f>
        <v>281</v>
      </c>
      <c r="AO12" s="101"/>
      <c r="AP12" s="101">
        <f>AVERAGE(AJ12,AL12,AN12)</f>
        <v>284.6666666666667</v>
      </c>
    </row>
    <row r="13" spans="2:34" ht="12.75">
      <c r="B13" s="82" t="s">
        <v>48</v>
      </c>
      <c r="D13" s="82" t="s">
        <v>202</v>
      </c>
      <c r="E13" s="107" t="s">
        <v>28</v>
      </c>
      <c r="F13" s="80">
        <v>2.76</v>
      </c>
      <c r="G13" s="107" t="s">
        <v>28</v>
      </c>
      <c r="H13" s="80">
        <v>3.3</v>
      </c>
      <c r="I13" s="107"/>
      <c r="J13" s="80">
        <v>2.41</v>
      </c>
      <c r="K13" s="107"/>
      <c r="L13" s="80">
        <v>556</v>
      </c>
      <c r="M13" s="107"/>
      <c r="N13" s="80">
        <v>424</v>
      </c>
      <c r="O13" s="107"/>
      <c r="P13" s="80">
        <v>490</v>
      </c>
      <c r="Q13" s="107" t="s">
        <v>28</v>
      </c>
      <c r="R13" s="81">
        <v>0.0985</v>
      </c>
      <c r="S13" s="106" t="s">
        <v>28</v>
      </c>
      <c r="T13" s="81">
        <v>0.0919</v>
      </c>
      <c r="U13" s="81" t="s">
        <v>28</v>
      </c>
      <c r="V13" s="81">
        <v>0.0988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2:34" ht="12.75">
      <c r="B14" s="82" t="s">
        <v>80</v>
      </c>
      <c r="D14" s="82" t="s">
        <v>202</v>
      </c>
      <c r="E14" s="107" t="s">
        <v>28</v>
      </c>
      <c r="F14" s="86">
        <v>0.0276</v>
      </c>
      <c r="G14" s="110" t="s">
        <v>28</v>
      </c>
      <c r="H14" s="86">
        <v>0.033</v>
      </c>
      <c r="I14" s="110" t="s">
        <v>28</v>
      </c>
      <c r="J14" s="86">
        <v>0.0219</v>
      </c>
      <c r="K14" s="107"/>
      <c r="L14" s="81">
        <v>0.631</v>
      </c>
      <c r="M14" s="106"/>
      <c r="N14" s="81">
        <v>1.44</v>
      </c>
      <c r="O14" s="106"/>
      <c r="P14" s="81">
        <v>0.0476</v>
      </c>
      <c r="Q14" s="106" t="s">
        <v>28</v>
      </c>
      <c r="R14" s="81">
        <v>0.591</v>
      </c>
      <c r="S14" s="106" t="s">
        <v>28</v>
      </c>
      <c r="T14" s="81">
        <v>0.5514</v>
      </c>
      <c r="U14" s="81" t="s">
        <v>28</v>
      </c>
      <c r="V14" s="81">
        <v>0.5928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</row>
    <row r="15" spans="2:34" ht="12.75">
      <c r="B15" s="82" t="s">
        <v>81</v>
      </c>
      <c r="D15" s="82" t="s">
        <v>202</v>
      </c>
      <c r="E15" s="107"/>
      <c r="F15" s="86">
        <v>0.0441</v>
      </c>
      <c r="G15" s="110"/>
      <c r="H15" s="86">
        <v>0.147</v>
      </c>
      <c r="I15" s="110"/>
      <c r="J15" s="86">
        <v>0.0877</v>
      </c>
      <c r="K15" s="107"/>
      <c r="L15" s="81">
        <v>0.336</v>
      </c>
      <c r="M15" s="106"/>
      <c r="N15" s="81">
        <v>0.418</v>
      </c>
      <c r="O15" s="106"/>
      <c r="P15" s="81">
        <v>0.308</v>
      </c>
      <c r="Q15" s="106"/>
      <c r="R15" s="81">
        <v>0.315</v>
      </c>
      <c r="S15" s="106"/>
      <c r="T15" s="81">
        <v>0.423</v>
      </c>
      <c r="U15" s="81"/>
      <c r="V15" s="81">
        <v>0.455</v>
      </c>
      <c r="W15" s="80"/>
      <c r="X15" s="81">
        <v>0.615</v>
      </c>
      <c r="Y15" s="81"/>
      <c r="Z15" s="81">
        <v>0.615</v>
      </c>
      <c r="AA15" s="81"/>
      <c r="AB15" s="81">
        <v>0.615</v>
      </c>
      <c r="AC15" s="80"/>
      <c r="AD15" s="80"/>
      <c r="AE15" s="80"/>
      <c r="AF15" s="80"/>
      <c r="AG15" s="80"/>
      <c r="AH15" s="80"/>
    </row>
    <row r="16" spans="2:34" ht="12.75">
      <c r="B16" s="82" t="s">
        <v>82</v>
      </c>
      <c r="D16" s="82" t="s">
        <v>202</v>
      </c>
      <c r="E16" s="107"/>
      <c r="F16" s="86">
        <v>0.728</v>
      </c>
      <c r="G16" s="110"/>
      <c r="H16" s="86">
        <v>0.816</v>
      </c>
      <c r="I16" s="110"/>
      <c r="J16" s="86">
        <v>0.212</v>
      </c>
      <c r="K16" s="107"/>
      <c r="L16" s="81">
        <v>0.406</v>
      </c>
      <c r="M16" s="106"/>
      <c r="N16" s="81">
        <v>0.763</v>
      </c>
      <c r="O16" s="106"/>
      <c r="P16" s="81">
        <v>0.631</v>
      </c>
      <c r="Q16" s="106"/>
      <c r="R16" s="81">
        <v>4.14</v>
      </c>
      <c r="S16" s="106"/>
      <c r="T16" s="81">
        <v>6.62</v>
      </c>
      <c r="U16" s="81"/>
      <c r="V16" s="81">
        <v>7.32</v>
      </c>
      <c r="W16" s="80"/>
      <c r="X16" s="81"/>
      <c r="Y16" s="81"/>
      <c r="Z16" s="81"/>
      <c r="AA16" s="81"/>
      <c r="AB16" s="81"/>
      <c r="AC16" s="80"/>
      <c r="AD16" s="80"/>
      <c r="AE16" s="80"/>
      <c r="AF16" s="80"/>
      <c r="AG16" s="80"/>
      <c r="AH16" s="80"/>
    </row>
    <row r="17" spans="2:34" ht="12.75">
      <c r="B17" s="82" t="s">
        <v>83</v>
      </c>
      <c r="D17" s="82" t="s">
        <v>202</v>
      </c>
      <c r="E17" s="107"/>
      <c r="F17" s="86">
        <v>0.00838</v>
      </c>
      <c r="G17" s="110"/>
      <c r="H17" s="86">
        <v>0.00882</v>
      </c>
      <c r="I17" s="110"/>
      <c r="J17" s="86">
        <v>0.00661</v>
      </c>
      <c r="K17" s="107"/>
      <c r="L17" s="81">
        <v>0.0225</v>
      </c>
      <c r="M17" s="106"/>
      <c r="N17" s="81">
        <v>0.0159</v>
      </c>
      <c r="O17" s="106"/>
      <c r="P17" s="81">
        <v>0.0196</v>
      </c>
      <c r="Q17" s="106"/>
      <c r="R17" s="81">
        <v>0.0236</v>
      </c>
      <c r="S17" s="106"/>
      <c r="T17" s="81">
        <v>0.022</v>
      </c>
      <c r="U17" s="81"/>
      <c r="V17" s="81">
        <v>0.0238</v>
      </c>
      <c r="W17" s="80"/>
      <c r="X17" s="81">
        <v>0.0882</v>
      </c>
      <c r="Y17" s="81"/>
      <c r="Z17" s="81">
        <v>0.0882</v>
      </c>
      <c r="AA17" s="81"/>
      <c r="AB17" s="81">
        <v>0.0882</v>
      </c>
      <c r="AC17" s="80"/>
      <c r="AD17" s="80"/>
      <c r="AE17" s="80"/>
      <c r="AF17" s="80"/>
      <c r="AG17" s="80"/>
      <c r="AH17" s="80"/>
    </row>
    <row r="18" spans="2:34" ht="12.75">
      <c r="B18" s="82" t="s">
        <v>84</v>
      </c>
      <c r="D18" s="82" t="s">
        <v>202</v>
      </c>
      <c r="E18" s="107"/>
      <c r="F18" s="86">
        <v>0.00639</v>
      </c>
      <c r="G18" s="110"/>
      <c r="H18" s="86">
        <v>0.00772</v>
      </c>
      <c r="I18" s="110"/>
      <c r="J18" s="86">
        <v>0.00375</v>
      </c>
      <c r="K18" s="107"/>
      <c r="L18" s="81">
        <v>4.19</v>
      </c>
      <c r="M18" s="106"/>
      <c r="N18" s="81">
        <v>4.29</v>
      </c>
      <c r="O18" s="106"/>
      <c r="P18" s="81">
        <v>3.87</v>
      </c>
      <c r="Q18" s="106"/>
      <c r="R18" s="81">
        <v>0.0789</v>
      </c>
      <c r="S18" s="106"/>
      <c r="T18" s="81">
        <v>0.0736</v>
      </c>
      <c r="U18" s="81"/>
      <c r="V18" s="81">
        <v>0.138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2:34" ht="12.75">
      <c r="B19" s="82" t="s">
        <v>113</v>
      </c>
      <c r="D19" s="82" t="s">
        <v>202</v>
      </c>
      <c r="E19" s="107"/>
      <c r="F19" s="86">
        <v>0.0589</v>
      </c>
      <c r="G19" s="110"/>
      <c r="H19" s="86">
        <v>0.0661</v>
      </c>
      <c r="I19" s="110"/>
      <c r="J19" s="86">
        <v>0.0474</v>
      </c>
      <c r="K19" s="107"/>
      <c r="L19" s="81">
        <v>13</v>
      </c>
      <c r="M19" s="106"/>
      <c r="N19" s="81">
        <v>13.1</v>
      </c>
      <c r="O19" s="106"/>
      <c r="P19" s="81">
        <v>11.1</v>
      </c>
      <c r="Q19" s="106"/>
      <c r="R19" s="81">
        <v>0.71</v>
      </c>
      <c r="S19" s="106"/>
      <c r="T19" s="81">
        <v>0.625</v>
      </c>
      <c r="U19" s="81"/>
      <c r="V19" s="81">
        <v>1.66</v>
      </c>
      <c r="W19" s="80"/>
      <c r="X19" s="80">
        <v>3.4</v>
      </c>
      <c r="Y19" s="80"/>
      <c r="Z19" s="80">
        <v>3.4</v>
      </c>
      <c r="AA19" s="80"/>
      <c r="AB19" s="80">
        <v>3.4</v>
      </c>
      <c r="AC19" s="80"/>
      <c r="AD19" s="80"/>
      <c r="AE19" s="80"/>
      <c r="AF19" s="80"/>
      <c r="AG19" s="80"/>
      <c r="AH19" s="80"/>
    </row>
    <row r="20" spans="2:34" ht="12.75">
      <c r="B20" s="82" t="s">
        <v>79</v>
      </c>
      <c r="D20" s="82" t="s">
        <v>202</v>
      </c>
      <c r="E20" s="107"/>
      <c r="F20" s="86">
        <v>0.0884</v>
      </c>
      <c r="G20" s="110"/>
      <c r="H20" s="86">
        <v>0.0893</v>
      </c>
      <c r="I20" s="110"/>
      <c r="J20" s="86">
        <v>0.073</v>
      </c>
      <c r="K20" s="107"/>
      <c r="L20" s="81">
        <v>56.8</v>
      </c>
      <c r="M20" s="106"/>
      <c r="N20" s="81">
        <v>57.1</v>
      </c>
      <c r="O20" s="106"/>
      <c r="P20" s="81">
        <v>49.3</v>
      </c>
      <c r="Q20" s="106"/>
      <c r="R20" s="81">
        <v>1.32</v>
      </c>
      <c r="S20" s="106"/>
      <c r="T20" s="81">
        <v>0.827</v>
      </c>
      <c r="U20" s="81"/>
      <c r="V20" s="81">
        <v>1.21</v>
      </c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2:34" ht="12.75">
      <c r="B21" s="82" t="s">
        <v>85</v>
      </c>
      <c r="D21" s="82" t="s">
        <v>202</v>
      </c>
      <c r="E21" s="107"/>
      <c r="F21" s="86">
        <v>0.00198</v>
      </c>
      <c r="G21" s="110"/>
      <c r="H21" s="86">
        <v>0.00198</v>
      </c>
      <c r="I21" s="110"/>
      <c r="J21" s="86">
        <v>0.00176</v>
      </c>
      <c r="K21" s="107"/>
      <c r="L21" s="81">
        <v>0.00661</v>
      </c>
      <c r="M21" s="106"/>
      <c r="N21" s="81">
        <v>0.00154</v>
      </c>
      <c r="O21" s="106"/>
      <c r="P21" s="81">
        <v>0.00331</v>
      </c>
      <c r="Q21" s="106" t="s">
        <v>28</v>
      </c>
      <c r="R21" s="81">
        <v>0.00985</v>
      </c>
      <c r="S21" s="106" t="s">
        <v>28</v>
      </c>
      <c r="T21" s="81">
        <v>0.00919</v>
      </c>
      <c r="U21" s="81" t="s">
        <v>28</v>
      </c>
      <c r="V21" s="81">
        <v>0.00988</v>
      </c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2:34" ht="12.75">
      <c r="B22" s="82" t="s">
        <v>88</v>
      </c>
      <c r="D22" s="82" t="s">
        <v>202</v>
      </c>
      <c r="E22" s="107" t="s">
        <v>28</v>
      </c>
      <c r="F22" s="86">
        <v>0.00644</v>
      </c>
      <c r="G22" s="110" t="s">
        <v>28</v>
      </c>
      <c r="H22" s="86">
        <v>0.0077</v>
      </c>
      <c r="I22" s="110" t="s">
        <v>28</v>
      </c>
      <c r="J22" s="86">
        <v>0.00511</v>
      </c>
      <c r="K22" s="107" t="s">
        <v>28</v>
      </c>
      <c r="L22" s="81">
        <v>0.042</v>
      </c>
      <c r="M22" s="106" t="s">
        <v>28</v>
      </c>
      <c r="N22" s="81">
        <v>0.0432</v>
      </c>
      <c r="O22" s="106" t="s">
        <v>28</v>
      </c>
      <c r="P22" s="81">
        <v>0.042</v>
      </c>
      <c r="Q22" s="106" t="s">
        <v>28</v>
      </c>
      <c r="R22" s="81">
        <v>0.1379</v>
      </c>
      <c r="S22" s="106" t="s">
        <v>28</v>
      </c>
      <c r="T22" s="81">
        <v>0.12866</v>
      </c>
      <c r="U22" s="81" t="s">
        <v>28</v>
      </c>
      <c r="V22" s="81">
        <v>0.13832</v>
      </c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2:34" ht="12.75">
      <c r="B23" s="82" t="s">
        <v>89</v>
      </c>
      <c r="D23" s="82" t="s">
        <v>202</v>
      </c>
      <c r="E23" s="107" t="s">
        <v>28</v>
      </c>
      <c r="F23" s="86">
        <v>0.0046</v>
      </c>
      <c r="G23" s="110" t="s">
        <v>28</v>
      </c>
      <c r="H23" s="86">
        <v>0.0055</v>
      </c>
      <c r="I23" s="110" t="s">
        <v>28</v>
      </c>
      <c r="J23" s="86">
        <v>0.00365</v>
      </c>
      <c r="K23" s="107" t="s">
        <v>28</v>
      </c>
      <c r="L23" s="81">
        <v>0.007</v>
      </c>
      <c r="M23" s="106" t="s">
        <v>28</v>
      </c>
      <c r="N23" s="81">
        <v>0.0072</v>
      </c>
      <c r="O23" s="106" t="s">
        <v>28</v>
      </c>
      <c r="P23" s="81">
        <v>0.007</v>
      </c>
      <c r="Q23" s="106" t="s">
        <v>28</v>
      </c>
      <c r="R23" s="81">
        <v>0.0985</v>
      </c>
      <c r="S23" s="106" t="s">
        <v>28</v>
      </c>
      <c r="T23" s="81">
        <v>0.0919</v>
      </c>
      <c r="U23" s="81" t="s">
        <v>28</v>
      </c>
      <c r="V23" s="81">
        <v>0.0988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</row>
    <row r="24" spans="5:34" ht="12.75">
      <c r="E24" s="107"/>
      <c r="F24" s="80"/>
      <c r="G24" s="107"/>
      <c r="H24" s="80"/>
      <c r="I24" s="107"/>
      <c r="J24" s="80"/>
      <c r="K24" s="107"/>
      <c r="L24" s="80"/>
      <c r="M24" s="107"/>
      <c r="N24" s="80"/>
      <c r="O24" s="107"/>
      <c r="P24" s="80"/>
      <c r="Q24" s="107"/>
      <c r="R24" s="80"/>
      <c r="S24" s="107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</row>
    <row r="25" spans="2:34" ht="12.75">
      <c r="B25" s="16" t="s">
        <v>59</v>
      </c>
      <c r="C25" s="16"/>
      <c r="D25" s="16" t="s">
        <v>16</v>
      </c>
      <c r="E25" s="107"/>
      <c r="F25" s="80">
        <f>'emiss 2'!$G$35</f>
        <v>98573</v>
      </c>
      <c r="G25" s="107"/>
      <c r="H25" s="80">
        <f>'emiss 2'!$I$35</f>
        <v>105103</v>
      </c>
      <c r="I25" s="107"/>
      <c r="J25" s="80">
        <f>'emiss 2'!$K$35</f>
        <v>104398</v>
      </c>
      <c r="K25" s="107"/>
      <c r="L25" s="80">
        <f>'emiss 2'!$G$35</f>
        <v>98573</v>
      </c>
      <c r="M25" s="107"/>
      <c r="N25" s="80">
        <f>'emiss 2'!$I$35</f>
        <v>105103</v>
      </c>
      <c r="O25" s="107"/>
      <c r="P25" s="80">
        <f>'emiss 2'!$K$35</f>
        <v>104398</v>
      </c>
      <c r="Q25" s="107"/>
      <c r="R25" s="80">
        <f>'emiss 2'!$G$35</f>
        <v>98573</v>
      </c>
      <c r="S25" s="107"/>
      <c r="T25" s="80">
        <f>'emiss 2'!$I$35</f>
        <v>105103</v>
      </c>
      <c r="U25" s="80"/>
      <c r="V25" s="80">
        <f>'emiss 2'!$K$35</f>
        <v>104398</v>
      </c>
      <c r="W25" s="80"/>
      <c r="X25" s="80">
        <f>'emiss 2'!$G$35</f>
        <v>98573</v>
      </c>
      <c r="Y25" s="80"/>
      <c r="Z25" s="80">
        <f>'emiss 2'!$I$35</f>
        <v>105103</v>
      </c>
      <c r="AA25" s="80"/>
      <c r="AB25" s="80">
        <f>'emiss 2'!$K$35</f>
        <v>104398</v>
      </c>
      <c r="AC25" s="80"/>
      <c r="AD25" s="80"/>
      <c r="AE25" s="80"/>
      <c r="AF25" s="80"/>
      <c r="AG25" s="80"/>
      <c r="AH25" s="80"/>
    </row>
    <row r="26" spans="2:34" ht="12.75">
      <c r="B26" s="16" t="s">
        <v>60</v>
      </c>
      <c r="C26" s="16"/>
      <c r="D26" s="16" t="s">
        <v>17</v>
      </c>
      <c r="E26" s="107"/>
      <c r="F26" s="80">
        <f>'emiss 2'!$G$36</f>
        <v>8.4</v>
      </c>
      <c r="G26" s="107"/>
      <c r="H26" s="80">
        <f>'emiss 2'!$I$36</f>
        <v>7.4</v>
      </c>
      <c r="I26" s="107"/>
      <c r="J26" s="80">
        <f>'emiss 2'!$K$36</f>
        <v>8.3</v>
      </c>
      <c r="K26" s="107"/>
      <c r="L26" s="80">
        <f>'emiss 2'!$G$36</f>
        <v>8.4</v>
      </c>
      <c r="M26" s="107"/>
      <c r="N26" s="80">
        <f>'emiss 2'!$I$36</f>
        <v>7.4</v>
      </c>
      <c r="O26" s="107"/>
      <c r="P26" s="80">
        <f>'emiss 2'!$K$36</f>
        <v>8.3</v>
      </c>
      <c r="Q26" s="107"/>
      <c r="R26" s="80">
        <f>'emiss 2'!$G$36</f>
        <v>8.4</v>
      </c>
      <c r="S26" s="107"/>
      <c r="T26" s="80">
        <f>'emiss 2'!$I$36</f>
        <v>7.4</v>
      </c>
      <c r="U26" s="80"/>
      <c r="V26" s="80">
        <f>'emiss 2'!$K$36</f>
        <v>8.3</v>
      </c>
      <c r="W26" s="80"/>
      <c r="X26" s="80">
        <f>'emiss 2'!$G$36</f>
        <v>8.4</v>
      </c>
      <c r="Y26" s="80"/>
      <c r="Z26" s="80">
        <f>'emiss 2'!$I$36</f>
        <v>7.4</v>
      </c>
      <c r="AA26" s="80"/>
      <c r="AB26" s="80">
        <f>'emiss 2'!$K$36</f>
        <v>8.3</v>
      </c>
      <c r="AC26" s="80"/>
      <c r="AD26" s="80"/>
      <c r="AE26" s="80"/>
      <c r="AF26" s="80"/>
      <c r="AG26" s="80"/>
      <c r="AH26" s="80"/>
    </row>
    <row r="27" spans="5:34" ht="12.75">
      <c r="E27" s="107"/>
      <c r="F27" s="80"/>
      <c r="G27" s="107"/>
      <c r="H27" s="80"/>
      <c r="I27" s="107"/>
      <c r="J27" s="80"/>
      <c r="K27" s="107"/>
      <c r="L27" s="80"/>
      <c r="M27" s="107"/>
      <c r="N27" s="80"/>
      <c r="O27" s="107"/>
      <c r="P27" s="80"/>
      <c r="Q27" s="107"/>
      <c r="R27" s="80"/>
      <c r="S27" s="107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2:34" ht="12.75">
      <c r="B28" s="57" t="s">
        <v>73</v>
      </c>
      <c r="C28" s="57"/>
      <c r="E28" s="107"/>
      <c r="F28" s="80"/>
      <c r="G28" s="107"/>
      <c r="H28" s="80"/>
      <c r="I28" s="107"/>
      <c r="J28" s="80"/>
      <c r="K28" s="107"/>
      <c r="L28" s="80"/>
      <c r="M28" s="107"/>
      <c r="N28" s="80"/>
      <c r="O28" s="107"/>
      <c r="P28" s="80"/>
      <c r="Q28" s="107"/>
      <c r="R28" s="80"/>
      <c r="S28" s="107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2:48" ht="12.75">
      <c r="B29" s="82" t="s">
        <v>48</v>
      </c>
      <c r="D29" s="82" t="s">
        <v>54</v>
      </c>
      <c r="E29" s="107">
        <v>100</v>
      </c>
      <c r="F29" s="101">
        <f>F13*454*1000000/F$25*14/(21-F$26)/0.0283/60</f>
        <v>8318.150339064401</v>
      </c>
      <c r="G29" s="105">
        <v>100</v>
      </c>
      <c r="H29" s="101">
        <f>H13*454*1000000/H$25*14/(21-H$26)/0.0283/60</f>
        <v>8641.838018195067</v>
      </c>
      <c r="I29" s="105"/>
      <c r="J29" s="101">
        <f aca="true" t="shared" si="0" ref="J29:J39">J13*454*1000000/J$25*14/(21-J$26)/0.0283/60</f>
        <v>6804.047635616705</v>
      </c>
      <c r="K29" s="105"/>
      <c r="L29" s="101">
        <f aca="true" t="shared" si="1" ref="L29:L39">L13*454*1000000/L$25*14/(21-L$26)/0.0283/60</f>
        <v>1675685.3581593505</v>
      </c>
      <c r="M29" s="105"/>
      <c r="N29" s="101">
        <f aca="true" t="shared" si="2" ref="N29:N39">N13*454*1000000/N$25*14/(21-N$26)/0.0283/60</f>
        <v>1110345.2483983967</v>
      </c>
      <c r="O29" s="105"/>
      <c r="P29" s="101">
        <f aca="true" t="shared" si="3" ref="P29:P39">P13*454*1000000/P$25*14/(21-P$26)/0.0283/60</f>
        <v>1383395.577366052</v>
      </c>
      <c r="Q29" s="105">
        <v>100</v>
      </c>
      <c r="R29" s="101">
        <f aca="true" t="shared" si="4" ref="R29:R39">R13*454*1000000/R$25*14/(21-R$26)/0.0283/60</f>
        <v>296.86152478182737</v>
      </c>
      <c r="S29" s="105">
        <v>100</v>
      </c>
      <c r="T29" s="101">
        <f aca="true" t="shared" si="5" ref="T29:T39">T13*454*1000000/T$25*14/(21-T$26)/0.0283/60</f>
        <v>240.66209511276568</v>
      </c>
      <c r="U29" s="101">
        <v>100</v>
      </c>
      <c r="V29" s="101">
        <f aca="true" t="shared" si="6" ref="V29:V39">V13*454*1000000/V$25*14/(21-V$26)/0.0283/60</f>
        <v>278.9377204974815</v>
      </c>
      <c r="W29" s="101"/>
      <c r="X29" s="101">
        <f aca="true" t="shared" si="7" ref="X29:X39">X13*454*1000000/X$25*14/(21-X$26)/0.0283/60</f>
        <v>0</v>
      </c>
      <c r="Y29" s="101"/>
      <c r="Z29" s="101">
        <f aca="true" t="shared" si="8" ref="Z29:Z39">Z13*454*1000000/Z$25*14/(21-Z$26)/0.0283/60</f>
        <v>0</v>
      </c>
      <c r="AA29" s="101"/>
      <c r="AB29" s="101">
        <f aca="true" t="shared" si="9" ref="AB29:AB39">AB13*454*1000000/AB$25*14/(21-AB$26)/0.0283/60</f>
        <v>0</v>
      </c>
      <c r="AC29" s="101"/>
      <c r="AD29" s="101">
        <f>SUM(L29,X29)</f>
        <v>1675685.3581593505</v>
      </c>
      <c r="AE29" s="101"/>
      <c r="AF29" s="101">
        <f>SUM(N29,Z29)</f>
        <v>1110345.2483983967</v>
      </c>
      <c r="AG29" s="101"/>
      <c r="AH29" s="101">
        <f>SUM(P29,AB29)</f>
        <v>1383395.577366052</v>
      </c>
      <c r="AI29" s="101">
        <f>SUM(E29,R29)/AJ29*100</f>
        <v>0.023562396104939504</v>
      </c>
      <c r="AJ29" s="101">
        <f>X29+R29+L29+F29</f>
        <v>1684300.3700231968</v>
      </c>
      <c r="AK29" s="101">
        <f>SUM(G29,T29)/AL29*100</f>
        <v>0.03043724528504246</v>
      </c>
      <c r="AL29" s="101">
        <f>Z29+T29+N29+H29</f>
        <v>1119227.7485117044</v>
      </c>
      <c r="AM29" s="101">
        <f>SUM(I29,V29)/AN29*100</f>
        <v>0.020060555263174996</v>
      </c>
      <c r="AN29" s="101">
        <f>AB29+V29+P29+J29</f>
        <v>1390478.562722166</v>
      </c>
      <c r="AO29" s="101">
        <f>SUM((AJ29*AI29/100),(AL29*AK29/100),(AN29*AM29/100))/AP29/3*100</f>
        <v>0.024236044852637455</v>
      </c>
      <c r="AP29" s="101">
        <f>AVERAGE(AJ29,AL29,AN29)</f>
        <v>1398002.227085689</v>
      </c>
      <c r="AS29" s="84">
        <f>AVERAGE(L29,N29,P29)</f>
        <v>1389808.7279746</v>
      </c>
      <c r="AT29" s="84">
        <f>AVERAGE(X29,Z29,AB29)</f>
        <v>0</v>
      </c>
      <c r="AU29" s="84">
        <f>AVERAGE(F29,H29,J29)+AVERAGE(R29,T29,V29)</f>
        <v>8193.499111089417</v>
      </c>
      <c r="AV29" s="84">
        <f>SUM(AS29,AT29,AU29)</f>
        <v>1398002.2270856893</v>
      </c>
    </row>
    <row r="30" spans="2:42" ht="12.75">
      <c r="B30" s="82" t="s">
        <v>80</v>
      </c>
      <c r="D30" s="82" t="s">
        <v>54</v>
      </c>
      <c r="E30" s="107">
        <v>100</v>
      </c>
      <c r="F30" s="101">
        <f aca="true" t="shared" si="10" ref="F30:H39">F14*454*1000000/F$25*14/(21-F$26)/0.0283/60</f>
        <v>83.18150339064401</v>
      </c>
      <c r="G30" s="105">
        <v>100</v>
      </c>
      <c r="H30" s="101">
        <f t="shared" si="10"/>
        <v>86.4183801819507</v>
      </c>
      <c r="I30" s="105">
        <v>100</v>
      </c>
      <c r="J30" s="101">
        <f t="shared" si="0"/>
        <v>61.8293125394215</v>
      </c>
      <c r="K30" s="105"/>
      <c r="L30" s="101">
        <f t="shared" si="1"/>
        <v>1901.7220521556658</v>
      </c>
      <c r="M30" s="105"/>
      <c r="N30" s="101">
        <f t="shared" si="2"/>
        <v>3770.983862485121</v>
      </c>
      <c r="O30" s="105"/>
      <c r="P30" s="101">
        <f t="shared" si="3"/>
        <v>134.3869989441308</v>
      </c>
      <c r="Q30" s="105">
        <v>100</v>
      </c>
      <c r="R30" s="101">
        <f t="shared" si="4"/>
        <v>1781.1691486909644</v>
      </c>
      <c r="S30" s="105">
        <v>100</v>
      </c>
      <c r="T30" s="101">
        <f t="shared" si="5"/>
        <v>1443.9725706765942</v>
      </c>
      <c r="U30" s="101">
        <v>100</v>
      </c>
      <c r="V30" s="101">
        <f t="shared" si="6"/>
        <v>1673.6263229848894</v>
      </c>
      <c r="W30" s="101"/>
      <c r="X30" s="101">
        <f t="shared" si="7"/>
        <v>0</v>
      </c>
      <c r="Y30" s="101"/>
      <c r="Z30" s="101">
        <f t="shared" si="8"/>
        <v>0</v>
      </c>
      <c r="AA30" s="101"/>
      <c r="AB30" s="101">
        <f t="shared" si="9"/>
        <v>0</v>
      </c>
      <c r="AC30" s="101"/>
      <c r="AD30" s="101">
        <f aca="true" t="shared" si="11" ref="AD30:AD41">SUM(L30,X30)</f>
        <v>1901.7220521556658</v>
      </c>
      <c r="AE30" s="101"/>
      <c r="AF30" s="101">
        <f aca="true" t="shared" si="12" ref="AF30:AF41">SUM(N30,Z30)</f>
        <v>3770.983862485121</v>
      </c>
      <c r="AG30" s="101"/>
      <c r="AH30" s="101">
        <f aca="true" t="shared" si="13" ref="AH30:AH41">SUM(P30,AB30)</f>
        <v>134.3869989441308</v>
      </c>
      <c r="AI30" s="101">
        <f>SUM(E30,R30)/AJ30*100</f>
        <v>49.95042040942088</v>
      </c>
      <c r="AJ30" s="101">
        <f aca="true" t="shared" si="14" ref="AJ30:AJ41">X30+R30+L30+F30</f>
        <v>3766.0727042372746</v>
      </c>
      <c r="AK30" s="101">
        <f>SUM(G30,T30)/AL30*100</f>
        <v>29.124003207439408</v>
      </c>
      <c r="AL30" s="101">
        <f aca="true" t="shared" si="15" ref="AL30:AL39">Z30+T30+N30+H30</f>
        <v>5301.374813343666</v>
      </c>
      <c r="AM30" s="101">
        <f>SUM(I30,V30)/AN30*100</f>
        <v>94.85430967772832</v>
      </c>
      <c r="AN30" s="101">
        <f aca="true" t="shared" si="16" ref="AN30:AN39">AB30+V30+P30+J30</f>
        <v>1869.8426344684417</v>
      </c>
      <c r="AO30" s="101">
        <f>SUM((AJ30*AI30/100),(AL30*AK30/100),(AN30*AM30/100))/AP30/3*100</f>
        <v>47.53250549340437</v>
      </c>
      <c r="AP30" s="101">
        <f aca="true" t="shared" si="17" ref="AP30:AP41">AVERAGE(AJ30,AL30,AN30)</f>
        <v>3645.7633840164603</v>
      </c>
    </row>
    <row r="31" spans="2:42" ht="12.75">
      <c r="B31" s="82" t="s">
        <v>81</v>
      </c>
      <c r="D31" s="82" t="s">
        <v>54</v>
      </c>
      <c r="E31" s="107"/>
      <c r="F31" s="101">
        <f t="shared" si="10"/>
        <v>132.90957606983335</v>
      </c>
      <c r="G31" s="105"/>
      <c r="H31" s="101">
        <f t="shared" si="10"/>
        <v>384.95460262868943</v>
      </c>
      <c r="I31" s="105"/>
      <c r="J31" s="101">
        <f t="shared" si="0"/>
        <v>247.59957578571994</v>
      </c>
      <c r="K31" s="105"/>
      <c r="L31" s="101">
        <f t="shared" si="1"/>
        <v>1012.6443891034924</v>
      </c>
      <c r="M31" s="105"/>
      <c r="N31" s="101">
        <f t="shared" si="2"/>
        <v>1094.6328156380418</v>
      </c>
      <c r="O31" s="105"/>
      <c r="P31" s="101">
        <f t="shared" si="3"/>
        <v>869.5629343443755</v>
      </c>
      <c r="Q31" s="105"/>
      <c r="R31" s="101">
        <f t="shared" si="4"/>
        <v>949.3541147845242</v>
      </c>
      <c r="S31" s="105"/>
      <c r="T31" s="101">
        <f t="shared" si="5"/>
        <v>1107.7265096050041</v>
      </c>
      <c r="U31" s="101"/>
      <c r="V31" s="101">
        <f t="shared" si="6"/>
        <v>1284.5816075541911</v>
      </c>
      <c r="W31" s="101"/>
      <c r="X31" s="101">
        <f t="shared" si="7"/>
        <v>1853.5008907697852</v>
      </c>
      <c r="Y31" s="101"/>
      <c r="Z31" s="101">
        <f t="shared" si="8"/>
        <v>1610.5243579363535</v>
      </c>
      <c r="AA31" s="101"/>
      <c r="AB31" s="101">
        <f t="shared" si="9"/>
        <v>1736.3026124084124</v>
      </c>
      <c r="AC31" s="101"/>
      <c r="AD31" s="101">
        <f t="shared" si="11"/>
        <v>2866.1452798732776</v>
      </c>
      <c r="AE31" s="101"/>
      <c r="AF31" s="101">
        <f t="shared" si="12"/>
        <v>2705.1571735743955</v>
      </c>
      <c r="AG31" s="101"/>
      <c r="AH31" s="101">
        <f t="shared" si="13"/>
        <v>2605.865546752788</v>
      </c>
      <c r="AI31" s="101"/>
      <c r="AJ31" s="101">
        <f t="shared" si="14"/>
        <v>3948.408970727635</v>
      </c>
      <c r="AK31" s="101"/>
      <c r="AL31" s="101">
        <f t="shared" si="15"/>
        <v>4197.838285808089</v>
      </c>
      <c r="AM31" s="101"/>
      <c r="AN31" s="101">
        <f t="shared" si="16"/>
        <v>4138.046730092699</v>
      </c>
      <c r="AO31" s="101"/>
      <c r="AP31" s="101">
        <f t="shared" si="17"/>
        <v>4094.7646622094744</v>
      </c>
    </row>
    <row r="32" spans="2:42" ht="12.75">
      <c r="B32" s="82" t="s">
        <v>82</v>
      </c>
      <c r="D32" s="82" t="s">
        <v>54</v>
      </c>
      <c r="E32" s="107"/>
      <c r="F32" s="101">
        <f t="shared" si="10"/>
        <v>2194.0628430575666</v>
      </c>
      <c r="G32" s="105"/>
      <c r="H32" s="101">
        <f t="shared" si="10"/>
        <v>2136.8908554082354</v>
      </c>
      <c r="I32" s="105"/>
      <c r="J32" s="101">
        <f t="shared" si="0"/>
        <v>598.5303314318428</v>
      </c>
      <c r="K32" s="105"/>
      <c r="L32" s="101">
        <f t="shared" si="1"/>
        <v>1223.6119701667199</v>
      </c>
      <c r="M32" s="105"/>
      <c r="N32" s="101">
        <f t="shared" si="2"/>
        <v>1998.0976993584359</v>
      </c>
      <c r="O32" s="105"/>
      <c r="P32" s="101">
        <f t="shared" si="3"/>
        <v>1781.4747128938345</v>
      </c>
      <c r="Q32" s="105"/>
      <c r="R32" s="101">
        <f t="shared" si="4"/>
        <v>12477.225508596603</v>
      </c>
      <c r="S32" s="105"/>
      <c r="T32" s="101">
        <f t="shared" si="5"/>
        <v>17336.05081225799</v>
      </c>
      <c r="U32" s="101"/>
      <c r="V32" s="101">
        <f t="shared" si="6"/>
        <v>20666.23597208061</v>
      </c>
      <c r="W32" s="101"/>
      <c r="X32" s="101">
        <f t="shared" si="7"/>
        <v>0</v>
      </c>
      <c r="Y32" s="101"/>
      <c r="Z32" s="101">
        <f t="shared" si="8"/>
        <v>0</v>
      </c>
      <c r="AA32" s="101"/>
      <c r="AB32" s="101">
        <f t="shared" si="9"/>
        <v>0</v>
      </c>
      <c r="AC32" s="101"/>
      <c r="AD32" s="101">
        <f t="shared" si="11"/>
        <v>1223.6119701667199</v>
      </c>
      <c r="AE32" s="101"/>
      <c r="AF32" s="101">
        <f t="shared" si="12"/>
        <v>1998.0976993584359</v>
      </c>
      <c r="AG32" s="101"/>
      <c r="AH32" s="101">
        <f t="shared" si="13"/>
        <v>1781.4747128938345</v>
      </c>
      <c r="AI32" s="101"/>
      <c r="AJ32" s="101">
        <f t="shared" si="14"/>
        <v>15894.900321820889</v>
      </c>
      <c r="AK32" s="101"/>
      <c r="AL32" s="101">
        <f t="shared" si="15"/>
        <v>21471.039367024663</v>
      </c>
      <c r="AM32" s="101"/>
      <c r="AN32" s="101">
        <f t="shared" si="16"/>
        <v>23046.24101640629</v>
      </c>
      <c r="AO32" s="101"/>
      <c r="AP32" s="101">
        <f t="shared" si="17"/>
        <v>20137.39356841728</v>
      </c>
    </row>
    <row r="33" spans="2:42" ht="12.75">
      <c r="B33" s="82" t="s">
        <v>83</v>
      </c>
      <c r="D33" s="82" t="s">
        <v>54</v>
      </c>
      <c r="E33" s="107"/>
      <c r="F33" s="101">
        <f t="shared" si="10"/>
        <v>25.255833275854958</v>
      </c>
      <c r="G33" s="105"/>
      <c r="H33" s="101">
        <f t="shared" si="10"/>
        <v>23.09727615772136</v>
      </c>
      <c r="I33" s="105"/>
      <c r="J33" s="101">
        <f t="shared" si="0"/>
        <v>18.661724013040008</v>
      </c>
      <c r="K33" s="105"/>
      <c r="L33" s="101">
        <f t="shared" si="1"/>
        <v>67.81100819889458</v>
      </c>
      <c r="M33" s="105"/>
      <c r="N33" s="101">
        <f t="shared" si="2"/>
        <v>41.63794681493987</v>
      </c>
      <c r="O33" s="105"/>
      <c r="P33" s="101">
        <f t="shared" si="3"/>
        <v>55.33582309464207</v>
      </c>
      <c r="Q33" s="105"/>
      <c r="R33" s="101">
        <f t="shared" si="4"/>
        <v>71.12621304417388</v>
      </c>
      <c r="S33" s="105"/>
      <c r="T33" s="101">
        <f t="shared" si="5"/>
        <v>57.61225345463379</v>
      </c>
      <c r="U33" s="101"/>
      <c r="V33" s="101">
        <f t="shared" si="6"/>
        <v>67.1934994720654</v>
      </c>
      <c r="W33" s="101"/>
      <c r="X33" s="101">
        <f t="shared" si="7"/>
        <v>265.8191521396667</v>
      </c>
      <c r="Y33" s="101"/>
      <c r="Z33" s="101">
        <f t="shared" si="8"/>
        <v>230.97276157721362</v>
      </c>
      <c r="AA33" s="101"/>
      <c r="AB33" s="101">
        <f t="shared" si="9"/>
        <v>249.01120392588936</v>
      </c>
      <c r="AC33" s="101"/>
      <c r="AD33" s="101">
        <f t="shared" si="11"/>
        <v>333.63016033856127</v>
      </c>
      <c r="AE33" s="101"/>
      <c r="AF33" s="101">
        <f t="shared" si="12"/>
        <v>272.61070839215347</v>
      </c>
      <c r="AG33" s="101"/>
      <c r="AH33" s="101">
        <f t="shared" si="13"/>
        <v>304.3470270205314</v>
      </c>
      <c r="AI33" s="101"/>
      <c r="AJ33" s="101">
        <f t="shared" si="14"/>
        <v>430.0122066585901</v>
      </c>
      <c r="AK33" s="101"/>
      <c r="AL33" s="101">
        <f t="shared" si="15"/>
        <v>353.32023800450867</v>
      </c>
      <c r="AM33" s="101"/>
      <c r="AN33" s="101">
        <f t="shared" si="16"/>
        <v>390.2022505056368</v>
      </c>
      <c r="AO33" s="101"/>
      <c r="AP33" s="101">
        <f t="shared" si="17"/>
        <v>391.1782317229119</v>
      </c>
    </row>
    <row r="34" spans="2:42" ht="12.75">
      <c r="B34" s="82" t="s">
        <v>84</v>
      </c>
      <c r="D34" s="82" t="s">
        <v>54</v>
      </c>
      <c r="E34" s="107"/>
      <c r="F34" s="101">
        <f t="shared" si="10"/>
        <v>19.258326328486056</v>
      </c>
      <c r="G34" s="105"/>
      <c r="H34" s="101">
        <f t="shared" si="10"/>
        <v>20.216663484989677</v>
      </c>
      <c r="I34" s="105"/>
      <c r="J34" s="101">
        <f t="shared" si="0"/>
        <v>10.587211051270804</v>
      </c>
      <c r="K34" s="105"/>
      <c r="L34" s="101">
        <f t="shared" si="1"/>
        <v>12627.91663792748</v>
      </c>
      <c r="M34" s="105"/>
      <c r="N34" s="101">
        <f t="shared" si="2"/>
        <v>11234.38942365359</v>
      </c>
      <c r="O34" s="105"/>
      <c r="P34" s="101">
        <f t="shared" si="3"/>
        <v>10926.001804911473</v>
      </c>
      <c r="Q34" s="105"/>
      <c r="R34" s="101">
        <f t="shared" si="4"/>
        <v>237.79060208412363</v>
      </c>
      <c r="S34" s="105"/>
      <c r="T34" s="101">
        <f t="shared" si="5"/>
        <v>192.73917519368393</v>
      </c>
      <c r="U34" s="101"/>
      <c r="V34" s="101">
        <f t="shared" si="6"/>
        <v>389.6093666867657</v>
      </c>
      <c r="W34" s="101"/>
      <c r="X34" s="101">
        <f t="shared" si="7"/>
        <v>0</v>
      </c>
      <c r="Y34" s="101"/>
      <c r="Z34" s="101">
        <f t="shared" si="8"/>
        <v>0</v>
      </c>
      <c r="AA34" s="101"/>
      <c r="AB34" s="101">
        <f t="shared" si="9"/>
        <v>0</v>
      </c>
      <c r="AC34" s="101"/>
      <c r="AD34" s="101">
        <f t="shared" si="11"/>
        <v>12627.91663792748</v>
      </c>
      <c r="AE34" s="101"/>
      <c r="AF34" s="101">
        <f t="shared" si="12"/>
        <v>11234.38942365359</v>
      </c>
      <c r="AG34" s="101"/>
      <c r="AH34" s="101">
        <f t="shared" si="13"/>
        <v>10926.001804911473</v>
      </c>
      <c r="AI34" s="101"/>
      <c r="AJ34" s="101">
        <f t="shared" si="14"/>
        <v>12884.96556634009</v>
      </c>
      <c r="AK34" s="101"/>
      <c r="AL34" s="101">
        <f t="shared" si="15"/>
        <v>11447.345262332265</v>
      </c>
      <c r="AM34" s="101"/>
      <c r="AN34" s="101">
        <f t="shared" si="16"/>
        <v>11326.198382649509</v>
      </c>
      <c r="AO34" s="101"/>
      <c r="AP34" s="101">
        <f t="shared" si="17"/>
        <v>11886.169737107288</v>
      </c>
    </row>
    <row r="35" spans="2:42" ht="12.75">
      <c r="B35" s="82" t="s">
        <v>113</v>
      </c>
      <c r="D35" s="82" t="s">
        <v>54</v>
      </c>
      <c r="E35" s="107"/>
      <c r="F35" s="101">
        <f t="shared" si="10"/>
        <v>177.5141503517729</v>
      </c>
      <c r="G35" s="105"/>
      <c r="H35" s="101">
        <f t="shared" si="10"/>
        <v>173.09863424324064</v>
      </c>
      <c r="I35" s="105"/>
      <c r="J35" s="101">
        <f t="shared" si="0"/>
        <v>133.822347688063</v>
      </c>
      <c r="K35" s="105"/>
      <c r="L35" s="101">
        <f t="shared" si="1"/>
        <v>39179.69362602798</v>
      </c>
      <c r="M35" s="105"/>
      <c r="N35" s="101">
        <f t="shared" si="2"/>
        <v>34305.478193441035</v>
      </c>
      <c r="O35" s="105"/>
      <c r="P35" s="101">
        <f t="shared" si="3"/>
        <v>31338.144711761586</v>
      </c>
      <c r="Q35" s="105"/>
      <c r="R35" s="101">
        <f t="shared" si="4"/>
        <v>2139.814036498451</v>
      </c>
      <c r="S35" s="105"/>
      <c r="T35" s="101">
        <f t="shared" si="5"/>
        <v>1636.711745870278</v>
      </c>
      <c r="U35" s="101"/>
      <c r="V35" s="101">
        <f t="shared" si="6"/>
        <v>4686.605425362543</v>
      </c>
      <c r="W35" s="101"/>
      <c r="X35" s="101">
        <f t="shared" si="7"/>
        <v>10246.996794499626</v>
      </c>
      <c r="Y35" s="101"/>
      <c r="Z35" s="101">
        <f t="shared" si="8"/>
        <v>8903.711897534313</v>
      </c>
      <c r="AA35" s="101"/>
      <c r="AB35" s="101">
        <f t="shared" si="9"/>
        <v>9599.071353152196</v>
      </c>
      <c r="AC35" s="101"/>
      <c r="AD35" s="101">
        <f t="shared" si="11"/>
        <v>49426.69042052761</v>
      </c>
      <c r="AE35" s="101"/>
      <c r="AF35" s="101">
        <f t="shared" si="12"/>
        <v>43209.190090975346</v>
      </c>
      <c r="AG35" s="101"/>
      <c r="AH35" s="101">
        <f t="shared" si="13"/>
        <v>40937.21606491378</v>
      </c>
      <c r="AI35" s="101"/>
      <c r="AJ35" s="101">
        <f t="shared" si="14"/>
        <v>51744.01860737784</v>
      </c>
      <c r="AK35" s="101"/>
      <c r="AL35" s="101">
        <f t="shared" si="15"/>
        <v>45019.00047108886</v>
      </c>
      <c r="AM35" s="101"/>
      <c r="AN35" s="101">
        <f t="shared" si="16"/>
        <v>45757.64383796439</v>
      </c>
      <c r="AO35" s="101"/>
      <c r="AP35" s="101">
        <f t="shared" si="17"/>
        <v>47506.88763881036</v>
      </c>
    </row>
    <row r="36" spans="2:42" ht="12.75">
      <c r="B36" s="82" t="s">
        <v>79</v>
      </c>
      <c r="D36" s="82" t="s">
        <v>54</v>
      </c>
      <c r="E36" s="107"/>
      <c r="F36" s="101">
        <f t="shared" si="10"/>
        <v>266.4219166569902</v>
      </c>
      <c r="G36" s="105"/>
      <c r="H36" s="101">
        <f t="shared" si="10"/>
        <v>233.85337424994535</v>
      </c>
      <c r="I36" s="105"/>
      <c r="J36" s="101">
        <f t="shared" si="0"/>
        <v>206.0977084647384</v>
      </c>
      <c r="K36" s="105"/>
      <c r="L36" s="101">
        <f t="shared" si="1"/>
        <v>171185.1229198761</v>
      </c>
      <c r="M36" s="105"/>
      <c r="N36" s="101">
        <f t="shared" si="2"/>
        <v>149529.98510270863</v>
      </c>
      <c r="O36" s="105"/>
      <c r="P36" s="101">
        <f t="shared" si="3"/>
        <v>139186.53462070684</v>
      </c>
      <c r="Q36" s="105"/>
      <c r="R36" s="101">
        <f t="shared" si="4"/>
        <v>3978.2458143351487</v>
      </c>
      <c r="S36" s="105"/>
      <c r="T36" s="101">
        <f t="shared" si="5"/>
        <v>2165.6969821355515</v>
      </c>
      <c r="U36" s="101"/>
      <c r="V36" s="101">
        <f t="shared" si="6"/>
        <v>3416.140099210047</v>
      </c>
      <c r="W36" s="101"/>
      <c r="X36" s="101">
        <f t="shared" si="7"/>
        <v>0</v>
      </c>
      <c r="Y36" s="101"/>
      <c r="Z36" s="101">
        <f t="shared" si="8"/>
        <v>0</v>
      </c>
      <c r="AA36" s="101"/>
      <c r="AB36" s="101">
        <f t="shared" si="9"/>
        <v>0</v>
      </c>
      <c r="AC36" s="101"/>
      <c r="AD36" s="101">
        <f t="shared" si="11"/>
        <v>171185.1229198761</v>
      </c>
      <c r="AE36" s="101"/>
      <c r="AF36" s="101">
        <f t="shared" si="12"/>
        <v>149529.98510270863</v>
      </c>
      <c r="AG36" s="101"/>
      <c r="AH36" s="101">
        <f t="shared" si="13"/>
        <v>139186.53462070684</v>
      </c>
      <c r="AI36" s="101"/>
      <c r="AJ36" s="101">
        <f t="shared" si="14"/>
        <v>175429.79065086824</v>
      </c>
      <c r="AK36" s="101"/>
      <c r="AL36" s="101">
        <f t="shared" si="15"/>
        <v>151929.53545909413</v>
      </c>
      <c r="AM36" s="101"/>
      <c r="AN36" s="101">
        <f t="shared" si="16"/>
        <v>142808.77242838164</v>
      </c>
      <c r="AO36" s="101"/>
      <c r="AP36" s="101">
        <f t="shared" si="17"/>
        <v>156722.69951278134</v>
      </c>
    </row>
    <row r="37" spans="2:48" ht="12.75">
      <c r="B37" s="82" t="s">
        <v>85</v>
      </c>
      <c r="D37" s="82" t="s">
        <v>54</v>
      </c>
      <c r="E37" s="107"/>
      <c r="F37" s="101">
        <f t="shared" si="10"/>
        <v>5.967368721502722</v>
      </c>
      <c r="G37" s="105"/>
      <c r="H37" s="101">
        <f t="shared" si="10"/>
        <v>5.185102810917042</v>
      </c>
      <c r="I37" s="105"/>
      <c r="J37" s="101">
        <f t="shared" si="0"/>
        <v>4.968931053396432</v>
      </c>
      <c r="K37" s="105"/>
      <c r="L37" s="101">
        <f t="shared" si="1"/>
        <v>19.92136729754192</v>
      </c>
      <c r="M37" s="105"/>
      <c r="N37" s="101">
        <f t="shared" si="2"/>
        <v>4.0328577418243645</v>
      </c>
      <c r="O37" s="105"/>
      <c r="P37" s="101">
        <f t="shared" si="3"/>
        <v>9.344978287921698</v>
      </c>
      <c r="Q37" s="105">
        <v>100</v>
      </c>
      <c r="R37" s="101">
        <f t="shared" si="4"/>
        <v>29.686152478182734</v>
      </c>
      <c r="S37" s="105">
        <v>100</v>
      </c>
      <c r="T37" s="101">
        <f t="shared" si="5"/>
        <v>24.066209511276575</v>
      </c>
      <c r="U37" s="101">
        <v>100</v>
      </c>
      <c r="V37" s="101">
        <f t="shared" si="6"/>
        <v>27.893772049748147</v>
      </c>
      <c r="W37" s="101"/>
      <c r="X37" s="101">
        <f t="shared" si="7"/>
        <v>0</v>
      </c>
      <c r="Y37" s="101"/>
      <c r="Z37" s="101">
        <f t="shared" si="8"/>
        <v>0</v>
      </c>
      <c r="AA37" s="101"/>
      <c r="AB37" s="101">
        <f t="shared" si="9"/>
        <v>0</v>
      </c>
      <c r="AC37" s="101"/>
      <c r="AD37" s="101">
        <f t="shared" si="11"/>
        <v>19.92136729754192</v>
      </c>
      <c r="AE37" s="101"/>
      <c r="AF37" s="101">
        <f t="shared" si="12"/>
        <v>4.0328577418243645</v>
      </c>
      <c r="AG37" s="101"/>
      <c r="AH37" s="101">
        <f t="shared" si="13"/>
        <v>9.344978287921698</v>
      </c>
      <c r="AI37" s="101">
        <f>SUM(R37)/AJ37*100</f>
        <v>53.41648590021691</v>
      </c>
      <c r="AJ37" s="101">
        <f t="shared" si="14"/>
        <v>55.57488849722738</v>
      </c>
      <c r="AK37" s="101">
        <f>SUM(T37)/AL37*100</f>
        <v>72.30527143981116</v>
      </c>
      <c r="AL37" s="101">
        <f t="shared" si="15"/>
        <v>33.284170064017985</v>
      </c>
      <c r="AM37" s="101">
        <f>SUM(V37)/AN37*100</f>
        <v>66.08695652173914</v>
      </c>
      <c r="AN37" s="101">
        <f t="shared" si="16"/>
        <v>42.207681391066274</v>
      </c>
      <c r="AO37" s="101">
        <f>SUM((AJ37*AI37/100),(AL37*AK37/100),(AN37*AM37/100))/AP37/3*100</f>
        <v>62.29355675506556</v>
      </c>
      <c r="AP37" s="101">
        <f t="shared" si="17"/>
        <v>43.68891331743722</v>
      </c>
      <c r="AS37" s="84">
        <f>AVERAGE(L37,N37,P37)</f>
        <v>11.099734442429328</v>
      </c>
      <c r="AT37" s="84">
        <f>AVERAGE(X37,Z37,AB37)</f>
        <v>0</v>
      </c>
      <c r="AU37" s="84">
        <f>AVERAGE(F37,H37,J37)+AVERAGE(R37,T37,V37)/2</f>
        <v>18.981489868473307</v>
      </c>
      <c r="AV37" s="84">
        <f>SUM(AS37,AT37,AU37)</f>
        <v>30.081224310902634</v>
      </c>
    </row>
    <row r="38" spans="2:42" ht="12.75">
      <c r="B38" s="82" t="s">
        <v>88</v>
      </c>
      <c r="D38" s="82" t="s">
        <v>54</v>
      </c>
      <c r="E38" s="107">
        <v>100</v>
      </c>
      <c r="F38" s="101">
        <f t="shared" si="10"/>
        <v>19.409017457816937</v>
      </c>
      <c r="G38" s="105">
        <v>100</v>
      </c>
      <c r="H38" s="101">
        <f t="shared" si="10"/>
        <v>20.16428870912183</v>
      </c>
      <c r="I38" s="105">
        <v>100</v>
      </c>
      <c r="J38" s="101">
        <f t="shared" si="0"/>
        <v>14.426839592531685</v>
      </c>
      <c r="K38" s="105">
        <v>100</v>
      </c>
      <c r="L38" s="101">
        <f t="shared" si="1"/>
        <v>126.58054863793654</v>
      </c>
      <c r="M38" s="105">
        <v>100</v>
      </c>
      <c r="N38" s="101">
        <f t="shared" si="2"/>
        <v>113.12951587455362</v>
      </c>
      <c r="O38" s="105">
        <v>100</v>
      </c>
      <c r="P38" s="101">
        <f t="shared" si="3"/>
        <v>118.57676377423304</v>
      </c>
      <c r="Q38" s="105">
        <v>100</v>
      </c>
      <c r="R38" s="101">
        <f t="shared" si="4"/>
        <v>415.6061346945583</v>
      </c>
      <c r="S38" s="105">
        <v>100</v>
      </c>
      <c r="T38" s="101">
        <f t="shared" si="5"/>
        <v>336.926933157872</v>
      </c>
      <c r="U38" s="101">
        <v>100</v>
      </c>
      <c r="V38" s="101">
        <f t="shared" si="6"/>
        <v>390.5128086964741</v>
      </c>
      <c r="W38" s="101"/>
      <c r="X38" s="101">
        <f t="shared" si="7"/>
        <v>0</v>
      </c>
      <c r="Y38" s="101"/>
      <c r="Z38" s="101">
        <f t="shared" si="8"/>
        <v>0</v>
      </c>
      <c r="AA38" s="101"/>
      <c r="AB38" s="101">
        <f t="shared" si="9"/>
        <v>0</v>
      </c>
      <c r="AC38" s="101">
        <v>100</v>
      </c>
      <c r="AD38" s="101">
        <f t="shared" si="11"/>
        <v>126.58054863793654</v>
      </c>
      <c r="AE38" s="101">
        <v>100</v>
      </c>
      <c r="AF38" s="101">
        <f t="shared" si="12"/>
        <v>113.12951587455362</v>
      </c>
      <c r="AG38" s="101">
        <v>100</v>
      </c>
      <c r="AH38" s="101">
        <f t="shared" si="13"/>
        <v>118.57676377423304</v>
      </c>
      <c r="AI38" s="101">
        <v>100</v>
      </c>
      <c r="AJ38" s="101">
        <f t="shared" si="14"/>
        <v>561.5957007903118</v>
      </c>
      <c r="AK38" s="101">
        <v>100</v>
      </c>
      <c r="AL38" s="101">
        <f t="shared" si="15"/>
        <v>470.2207377415474</v>
      </c>
      <c r="AM38" s="101">
        <v>100</v>
      </c>
      <c r="AN38" s="101">
        <f t="shared" si="16"/>
        <v>523.5164120632388</v>
      </c>
      <c r="AO38" s="101">
        <f>SUM((AJ38*AI38/100),(AL38*AK38/100),(AN38*AM38/100))/AP38/3*100</f>
        <v>100</v>
      </c>
      <c r="AP38" s="101">
        <f t="shared" si="17"/>
        <v>518.4442835316994</v>
      </c>
    </row>
    <row r="39" spans="2:42" ht="12.75">
      <c r="B39" s="82" t="s">
        <v>89</v>
      </c>
      <c r="D39" s="82" t="s">
        <v>54</v>
      </c>
      <c r="E39" s="107">
        <v>100</v>
      </c>
      <c r="F39" s="101">
        <f t="shared" si="10"/>
        <v>13.86358389844067</v>
      </c>
      <c r="G39" s="105">
        <v>100</v>
      </c>
      <c r="H39" s="101">
        <f t="shared" si="10"/>
        <v>14.403063363658447</v>
      </c>
      <c r="I39" s="105">
        <v>100</v>
      </c>
      <c r="J39" s="101">
        <f t="shared" si="0"/>
        <v>10.30488542323692</v>
      </c>
      <c r="K39" s="105">
        <v>100</v>
      </c>
      <c r="L39" s="101">
        <f t="shared" si="1"/>
        <v>21.09675810632276</v>
      </c>
      <c r="M39" s="105">
        <v>100</v>
      </c>
      <c r="N39" s="101">
        <f t="shared" si="2"/>
        <v>18.8549193124256</v>
      </c>
      <c r="O39" s="105">
        <v>100</v>
      </c>
      <c r="P39" s="101">
        <f t="shared" si="3"/>
        <v>19.762793962372175</v>
      </c>
      <c r="Q39" s="105">
        <v>100</v>
      </c>
      <c r="R39" s="101">
        <f t="shared" si="4"/>
        <v>296.86152478182737</v>
      </c>
      <c r="S39" s="105">
        <v>100</v>
      </c>
      <c r="T39" s="101">
        <f t="shared" si="5"/>
        <v>240.66209511276568</v>
      </c>
      <c r="U39" s="101">
        <v>100</v>
      </c>
      <c r="V39" s="101">
        <f t="shared" si="6"/>
        <v>278.9377204974815</v>
      </c>
      <c r="W39" s="101"/>
      <c r="X39" s="101">
        <f t="shared" si="7"/>
        <v>0</v>
      </c>
      <c r="Y39" s="101"/>
      <c r="Z39" s="101">
        <f t="shared" si="8"/>
        <v>0</v>
      </c>
      <c r="AA39" s="101"/>
      <c r="AB39" s="101">
        <f t="shared" si="9"/>
        <v>0</v>
      </c>
      <c r="AC39" s="101">
        <v>100</v>
      </c>
      <c r="AD39" s="101">
        <f t="shared" si="11"/>
        <v>21.09675810632276</v>
      </c>
      <c r="AE39" s="101">
        <v>100</v>
      </c>
      <c r="AF39" s="101">
        <f t="shared" si="12"/>
        <v>18.8549193124256</v>
      </c>
      <c r="AG39" s="101">
        <v>100</v>
      </c>
      <c r="AH39" s="101">
        <f t="shared" si="13"/>
        <v>19.762793962372175</v>
      </c>
      <c r="AI39" s="101">
        <v>100</v>
      </c>
      <c r="AJ39" s="101">
        <f t="shared" si="14"/>
        <v>331.82186678659076</v>
      </c>
      <c r="AK39" s="101">
        <v>100</v>
      </c>
      <c r="AL39" s="101">
        <f t="shared" si="15"/>
        <v>273.92007778884977</v>
      </c>
      <c r="AM39" s="101">
        <v>100</v>
      </c>
      <c r="AN39" s="101">
        <f t="shared" si="16"/>
        <v>309.0053998830906</v>
      </c>
      <c r="AO39" s="101">
        <f>SUM((AJ39*AI39/100),(AL39*AK39/100),(AN39*AM39/100))/AP39/3*100</f>
        <v>100</v>
      </c>
      <c r="AP39" s="101">
        <f t="shared" si="17"/>
        <v>304.9157814861771</v>
      </c>
    </row>
    <row r="40" spans="2:48" ht="12.75">
      <c r="B40" s="82" t="s">
        <v>55</v>
      </c>
      <c r="D40" s="82" t="s">
        <v>54</v>
      </c>
      <c r="E40" s="107"/>
      <c r="F40" s="101">
        <f>F34+F36</f>
        <v>285.6802429854763</v>
      </c>
      <c r="G40" s="105"/>
      <c r="H40" s="101">
        <f>H34+H36</f>
        <v>254.07003773493503</v>
      </c>
      <c r="I40" s="105"/>
      <c r="J40" s="101">
        <f>J34+J36</f>
        <v>216.6849195160092</v>
      </c>
      <c r="K40" s="105"/>
      <c r="L40" s="101">
        <f>L34+L36</f>
        <v>183813.03955780357</v>
      </c>
      <c r="M40" s="105"/>
      <c r="N40" s="101">
        <f>N34+N36</f>
        <v>160764.37452636223</v>
      </c>
      <c r="O40" s="105"/>
      <c r="P40" s="101">
        <f>P34+P36</f>
        <v>150112.5364256183</v>
      </c>
      <c r="Q40" s="105"/>
      <c r="R40" s="101">
        <f>R34+R36</f>
        <v>4216.036416419272</v>
      </c>
      <c r="S40" s="105"/>
      <c r="T40" s="101">
        <f>T34+T36</f>
        <v>2358.4361573292354</v>
      </c>
      <c r="U40" s="101"/>
      <c r="V40" s="101">
        <f>V34+V36</f>
        <v>3805.7494658968126</v>
      </c>
      <c r="W40" s="101"/>
      <c r="X40" s="101">
        <f>X34+X36</f>
        <v>0</v>
      </c>
      <c r="Y40" s="101"/>
      <c r="Z40" s="101">
        <f>Z34+Z36</f>
        <v>0</v>
      </c>
      <c r="AA40" s="101"/>
      <c r="AB40" s="101">
        <f>AB34+AB36</f>
        <v>0</v>
      </c>
      <c r="AC40" s="101"/>
      <c r="AD40" s="101">
        <f t="shared" si="11"/>
        <v>183813.03955780357</v>
      </c>
      <c r="AE40" s="101"/>
      <c r="AF40" s="101">
        <f t="shared" si="12"/>
        <v>160764.37452636223</v>
      </c>
      <c r="AG40" s="101"/>
      <c r="AH40" s="101">
        <f t="shared" si="13"/>
        <v>150112.5364256183</v>
      </c>
      <c r="AI40" s="101"/>
      <c r="AJ40" s="101">
        <f t="shared" si="14"/>
        <v>188314.75621720834</v>
      </c>
      <c r="AK40" s="101"/>
      <c r="AL40" s="101">
        <f>Z40+T40+N40+H40</f>
        <v>163376.8807214264</v>
      </c>
      <c r="AM40" s="101"/>
      <c r="AN40" s="101">
        <f>AB40+V40+P40+J40</f>
        <v>154134.97081103112</v>
      </c>
      <c r="AO40" s="101"/>
      <c r="AP40" s="101">
        <f t="shared" si="17"/>
        <v>168608.8692498886</v>
      </c>
      <c r="AS40" s="84">
        <f>AVERAGE(L40,N40,P40)</f>
        <v>164896.65016992806</v>
      </c>
      <c r="AT40" s="84">
        <f>AVERAGE(X40,Z40,AB40)</f>
        <v>0</v>
      </c>
      <c r="AU40" s="84">
        <f>AVERAGE(F40,H40,J40)+AVERAGE(R40,T40,V40)</f>
        <v>3712.2190799605796</v>
      </c>
      <c r="AV40" s="84">
        <f>SUM(AS40,AT40,AU40)</f>
        <v>168608.86924988864</v>
      </c>
    </row>
    <row r="41" spans="2:48" ht="12.75">
      <c r="B41" s="82" t="s">
        <v>56</v>
      </c>
      <c r="D41" s="82" t="s">
        <v>54</v>
      </c>
      <c r="E41" s="107"/>
      <c r="F41" s="101">
        <f>F31+F33+F35</f>
        <v>335.67955969746123</v>
      </c>
      <c r="G41" s="105"/>
      <c r="H41" s="101">
        <f>H31+H33+H35</f>
        <v>581.1505130296514</v>
      </c>
      <c r="I41" s="105"/>
      <c r="J41" s="101">
        <f>J31+J33+J35</f>
        <v>400.0836474868229</v>
      </c>
      <c r="K41" s="105"/>
      <c r="L41" s="101">
        <f>L31+L33+L35</f>
        <v>40260.14902333037</v>
      </c>
      <c r="M41" s="105"/>
      <c r="N41" s="101">
        <f>N31+N33+N35</f>
        <v>35441.748955894014</v>
      </c>
      <c r="O41" s="105"/>
      <c r="P41" s="101">
        <f>P31+P33+P35</f>
        <v>32263.043469200602</v>
      </c>
      <c r="Q41" s="105"/>
      <c r="R41" s="101">
        <f>R31+R33+R35</f>
        <v>3160.294364327149</v>
      </c>
      <c r="S41" s="105"/>
      <c r="T41" s="101">
        <f>T31+T33+T35</f>
        <v>2802.050508929916</v>
      </c>
      <c r="U41" s="101"/>
      <c r="V41" s="101">
        <f>V31+V33+V35</f>
        <v>6038.3805323888</v>
      </c>
      <c r="W41" s="101"/>
      <c r="X41" s="101">
        <f>X31+X33+X35</f>
        <v>12366.316837409078</v>
      </c>
      <c r="Y41" s="101"/>
      <c r="Z41" s="101">
        <f>Z31+Z33+Z35</f>
        <v>10745.20901704788</v>
      </c>
      <c r="AA41" s="101"/>
      <c r="AB41" s="101">
        <f>AB31+AB33+AB35</f>
        <v>11584.385169486497</v>
      </c>
      <c r="AC41" s="101"/>
      <c r="AD41" s="101">
        <f t="shared" si="11"/>
        <v>52626.46586073945</v>
      </c>
      <c r="AE41" s="101"/>
      <c r="AF41" s="101">
        <f t="shared" si="12"/>
        <v>46186.95797294189</v>
      </c>
      <c r="AG41" s="101"/>
      <c r="AH41" s="101">
        <f t="shared" si="13"/>
        <v>43847.428638687095</v>
      </c>
      <c r="AI41" s="101"/>
      <c r="AJ41" s="101">
        <f t="shared" si="14"/>
        <v>56122.43978476406</v>
      </c>
      <c r="AK41" s="101"/>
      <c r="AL41" s="101">
        <f>Z41+T41+N41+H41</f>
        <v>49570.15899490146</v>
      </c>
      <c r="AM41" s="101"/>
      <c r="AN41" s="101">
        <f>AB41+V41+P41+J41</f>
        <v>50285.89281856273</v>
      </c>
      <c r="AO41" s="101"/>
      <c r="AP41" s="101">
        <f t="shared" si="17"/>
        <v>51992.830532742744</v>
      </c>
      <c r="AS41" s="84">
        <f>AVERAGE(L41,N41,P41)</f>
        <v>35988.313816141665</v>
      </c>
      <c r="AT41" s="84">
        <f>AVERAGE(X41,Z41,AB41)</f>
        <v>11565.303674647817</v>
      </c>
      <c r="AU41" s="84">
        <f>AVERAGE(F41,H41,J41)+AVERAGE(R41,T41,V41)</f>
        <v>4439.213041953267</v>
      </c>
      <c r="AV41" s="84">
        <f>SUM(AS41,AT41,AU41)</f>
        <v>51992.83053274275</v>
      </c>
    </row>
    <row r="42" spans="5:34" ht="12.75">
      <c r="E42" s="107"/>
      <c r="F42" s="80"/>
      <c r="G42" s="107"/>
      <c r="H42" s="80"/>
      <c r="I42" s="107"/>
      <c r="J42" s="80"/>
      <c r="K42" s="107"/>
      <c r="L42" s="80"/>
      <c r="M42" s="107"/>
      <c r="N42" s="80"/>
      <c r="O42" s="107"/>
      <c r="P42" s="80"/>
      <c r="Q42" s="107"/>
      <c r="R42" s="80"/>
      <c r="S42" s="107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</row>
    <row r="43" spans="2:34" ht="12.75">
      <c r="B43" s="24" t="s">
        <v>168</v>
      </c>
      <c r="C43" s="24"/>
      <c r="E43" s="107"/>
      <c r="F43" s="80"/>
      <c r="G43" s="107"/>
      <c r="H43" s="80"/>
      <c r="I43" s="107"/>
      <c r="J43" s="80"/>
      <c r="K43" s="107"/>
      <c r="L43" s="80"/>
      <c r="M43" s="107"/>
      <c r="N43" s="80"/>
      <c r="O43" s="107"/>
      <c r="P43" s="80"/>
      <c r="Q43" s="107"/>
      <c r="R43" s="80"/>
      <c r="S43" s="107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5:34" ht="12.75">
      <c r="E44" s="107"/>
      <c r="F44" s="80"/>
      <c r="G44" s="107"/>
      <c r="H44" s="80"/>
      <c r="I44" s="107"/>
      <c r="J44" s="80"/>
      <c r="K44" s="107"/>
      <c r="L44" s="80"/>
      <c r="M44" s="107"/>
      <c r="N44" s="80"/>
      <c r="O44" s="107"/>
      <c r="P44" s="80"/>
      <c r="Q44" s="107"/>
      <c r="R44" s="80"/>
      <c r="S44" s="107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2:34" ht="12.75">
      <c r="B45" s="82" t="s">
        <v>201</v>
      </c>
      <c r="E45" s="107"/>
      <c r="F45" s="80"/>
      <c r="G45" s="107"/>
      <c r="H45" s="80"/>
      <c r="I45" s="107"/>
      <c r="J45" s="80"/>
      <c r="K45" s="107"/>
      <c r="L45" s="80"/>
      <c r="M45" s="107"/>
      <c r="N45" s="80"/>
      <c r="O45" s="107"/>
      <c r="P45" s="80"/>
      <c r="Q45" s="107"/>
      <c r="R45" s="80"/>
      <c r="S45" s="107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2:34" ht="12.75">
      <c r="B46" s="82" t="s">
        <v>203</v>
      </c>
      <c r="E46" s="107"/>
      <c r="F46" s="80"/>
      <c r="G46" s="107"/>
      <c r="H46" s="80"/>
      <c r="I46" s="107"/>
      <c r="J46" s="80"/>
      <c r="K46" s="107"/>
      <c r="L46" s="80"/>
      <c r="M46" s="107"/>
      <c r="N46" s="80"/>
      <c r="O46" s="107"/>
      <c r="P46" s="80"/>
      <c r="Q46" s="107"/>
      <c r="R46" s="80"/>
      <c r="S46" s="107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5:34" ht="12.75">
      <c r="E47" s="107"/>
      <c r="F47" s="80"/>
      <c r="G47" s="107"/>
      <c r="H47" s="80"/>
      <c r="I47" s="107"/>
      <c r="J47" s="80"/>
      <c r="K47" s="107"/>
      <c r="L47" s="80"/>
      <c r="M47" s="107"/>
      <c r="N47" s="80"/>
      <c r="O47" s="107"/>
      <c r="P47" s="80"/>
      <c r="Q47" s="107"/>
      <c r="R47" s="80"/>
      <c r="S47" s="107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</row>
    <row r="48" spans="2:34" ht="12.75">
      <c r="B48" s="24" t="s">
        <v>172</v>
      </c>
      <c r="C48" s="24"/>
      <c r="E48" s="107"/>
      <c r="F48" s="80"/>
      <c r="G48" s="107"/>
      <c r="H48" s="80"/>
      <c r="I48" s="107"/>
      <c r="J48" s="80"/>
      <c r="K48" s="107"/>
      <c r="L48" s="80"/>
      <c r="M48" s="107"/>
      <c r="N48" s="80"/>
      <c r="O48" s="107"/>
      <c r="P48" s="80"/>
      <c r="Q48" s="107"/>
      <c r="R48" s="80"/>
      <c r="S48" s="107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5:34" ht="12.75">
      <c r="E49" s="107"/>
      <c r="F49" s="80"/>
      <c r="G49" s="107"/>
      <c r="H49" s="80"/>
      <c r="I49" s="107"/>
      <c r="J49" s="80"/>
      <c r="K49" s="107"/>
      <c r="L49" s="80"/>
      <c r="M49" s="107"/>
      <c r="N49" s="80"/>
      <c r="O49" s="107"/>
      <c r="P49" s="80"/>
      <c r="Q49" s="107"/>
      <c r="R49" s="80"/>
      <c r="S49" s="107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</row>
    <row r="50" spans="2:34" ht="12.75">
      <c r="B50" s="82" t="s">
        <v>201</v>
      </c>
      <c r="E50" s="107"/>
      <c r="F50" s="80"/>
      <c r="G50" s="107"/>
      <c r="H50" s="80"/>
      <c r="I50" s="107"/>
      <c r="J50" s="80"/>
      <c r="K50" s="107"/>
      <c r="L50" s="80"/>
      <c r="M50" s="107"/>
      <c r="N50" s="80"/>
      <c r="O50" s="107"/>
      <c r="P50" s="80"/>
      <c r="Q50" s="107"/>
      <c r="R50" s="80"/>
      <c r="S50" s="107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</row>
    <row r="51" spans="2:34" ht="12.75">
      <c r="B51" s="82" t="s">
        <v>203</v>
      </c>
      <c r="E51" s="107"/>
      <c r="F51" s="80"/>
      <c r="G51" s="107"/>
      <c r="H51" s="80"/>
      <c r="I51" s="107"/>
      <c r="J51" s="80"/>
      <c r="K51" s="107"/>
      <c r="L51" s="80"/>
      <c r="M51" s="107"/>
      <c r="N51" s="80"/>
      <c r="O51" s="107"/>
      <c r="P51" s="80"/>
      <c r="Q51" s="107"/>
      <c r="R51" s="80"/>
      <c r="S51" s="107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</row>
    <row r="52" spans="5:34" ht="12.75">
      <c r="E52" s="107"/>
      <c r="F52" s="80"/>
      <c r="G52" s="107"/>
      <c r="H52" s="80"/>
      <c r="I52" s="107"/>
      <c r="J52" s="80"/>
      <c r="K52" s="107"/>
      <c r="L52" s="80"/>
      <c r="M52" s="107"/>
      <c r="N52" s="80"/>
      <c r="O52" s="107"/>
      <c r="P52" s="80"/>
      <c r="Q52" s="107"/>
      <c r="R52" s="80"/>
      <c r="S52" s="107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</row>
    <row r="53" spans="2:34" ht="12.75">
      <c r="B53" s="24" t="s">
        <v>177</v>
      </c>
      <c r="C53" s="24"/>
      <c r="E53" s="107"/>
      <c r="F53" s="80"/>
      <c r="G53" s="107"/>
      <c r="H53" s="80"/>
      <c r="I53" s="107"/>
      <c r="J53" s="80"/>
      <c r="K53" s="107"/>
      <c r="L53" s="80"/>
      <c r="M53" s="107"/>
      <c r="N53" s="80"/>
      <c r="O53" s="107"/>
      <c r="P53" s="80"/>
      <c r="Q53" s="107"/>
      <c r="R53" s="80"/>
      <c r="S53" s="107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</row>
    <row r="54" spans="5:34" ht="12.75">
      <c r="E54" s="107"/>
      <c r="F54" s="80"/>
      <c r="G54" s="107"/>
      <c r="H54" s="80"/>
      <c r="I54" s="107"/>
      <c r="J54" s="80"/>
      <c r="K54" s="107"/>
      <c r="L54" s="80"/>
      <c r="M54" s="107"/>
      <c r="N54" s="80"/>
      <c r="O54" s="107"/>
      <c r="P54" s="80"/>
      <c r="Q54" s="107"/>
      <c r="R54" s="80"/>
      <c r="S54" s="107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</row>
    <row r="55" spans="2:34" ht="12.75">
      <c r="B55" s="82" t="s">
        <v>201</v>
      </c>
      <c r="E55" s="107"/>
      <c r="F55" s="80"/>
      <c r="G55" s="107"/>
      <c r="H55" s="80"/>
      <c r="I55" s="107"/>
      <c r="J55" s="80"/>
      <c r="K55" s="107"/>
      <c r="L55" s="80"/>
      <c r="M55" s="107"/>
      <c r="N55" s="80"/>
      <c r="O55" s="107"/>
      <c r="P55" s="80"/>
      <c r="Q55" s="107"/>
      <c r="R55" s="80"/>
      <c r="S55" s="107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</row>
    <row r="56" spans="2:34" ht="12.75">
      <c r="B56" s="82" t="s">
        <v>203</v>
      </c>
      <c r="E56" s="107"/>
      <c r="F56" s="80"/>
      <c r="G56" s="107"/>
      <c r="H56" s="80"/>
      <c r="I56" s="107"/>
      <c r="J56" s="80"/>
      <c r="K56" s="107"/>
      <c r="L56" s="80"/>
      <c r="M56" s="107"/>
      <c r="N56" s="80"/>
      <c r="O56" s="107"/>
      <c r="P56" s="80"/>
      <c r="Q56" s="107"/>
      <c r="R56" s="80"/>
      <c r="S56" s="107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</row>
    <row r="57" spans="5:34" ht="12.75">
      <c r="E57" s="107"/>
      <c r="F57" s="80"/>
      <c r="G57" s="107"/>
      <c r="H57" s="80"/>
      <c r="I57" s="107"/>
      <c r="J57" s="80"/>
      <c r="K57" s="107"/>
      <c r="L57" s="80"/>
      <c r="M57" s="107"/>
      <c r="N57" s="80"/>
      <c r="O57" s="107"/>
      <c r="P57" s="80"/>
      <c r="Q57" s="107"/>
      <c r="R57" s="80"/>
      <c r="S57" s="107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0" ht="12.75">
      <c r="A58" s="82" t="s">
        <v>97</v>
      </c>
      <c r="B58" s="24" t="s">
        <v>180</v>
      </c>
      <c r="C58" s="24"/>
      <c r="E58" s="107"/>
      <c r="F58" s="88" t="s">
        <v>188</v>
      </c>
      <c r="H58" s="88" t="s">
        <v>189</v>
      </c>
      <c r="J58" s="88" t="s">
        <v>190</v>
      </c>
      <c r="L58" s="88" t="s">
        <v>188</v>
      </c>
      <c r="N58" s="88" t="s">
        <v>189</v>
      </c>
      <c r="P58" s="88" t="s">
        <v>190</v>
      </c>
      <c r="R58" s="88" t="s">
        <v>188</v>
      </c>
      <c r="T58" s="88" t="s">
        <v>189</v>
      </c>
      <c r="U58" s="88"/>
      <c r="V58" s="88" t="s">
        <v>190</v>
      </c>
      <c r="W58" s="88"/>
      <c r="X58" s="88" t="s">
        <v>188</v>
      </c>
      <c r="Y58" s="88"/>
      <c r="Z58" s="88" t="s">
        <v>189</v>
      </c>
      <c r="AA58" s="88"/>
      <c r="AB58" s="88" t="s">
        <v>190</v>
      </c>
      <c r="AC58" s="88"/>
      <c r="AD58" s="88" t="s">
        <v>161</v>
      </c>
    </row>
    <row r="59" spans="2:30" ht="12.75">
      <c r="B59" s="24"/>
      <c r="C59" s="24"/>
      <c r="E59" s="107"/>
      <c r="F59" s="88"/>
      <c r="H59" s="88"/>
      <c r="J59" s="88"/>
      <c r="L59" s="88"/>
      <c r="N59" s="88"/>
      <c r="P59" s="88"/>
      <c r="R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spans="2:30" ht="12.75">
      <c r="B60" s="16" t="s">
        <v>265</v>
      </c>
      <c r="C60" s="16"/>
      <c r="D60" s="24"/>
      <c r="F60" s="88" t="s">
        <v>292</v>
      </c>
      <c r="H60" s="88" t="s">
        <v>292</v>
      </c>
      <c r="J60" s="88" t="s">
        <v>292</v>
      </c>
      <c r="L60" s="88" t="s">
        <v>293</v>
      </c>
      <c r="N60" s="88" t="s">
        <v>293</v>
      </c>
      <c r="P60" s="88" t="s">
        <v>293</v>
      </c>
      <c r="R60" s="88" t="s">
        <v>294</v>
      </c>
      <c r="T60" s="88" t="s">
        <v>294</v>
      </c>
      <c r="U60" s="88"/>
      <c r="V60" s="88" t="s">
        <v>294</v>
      </c>
      <c r="W60" s="88"/>
      <c r="X60" s="88" t="s">
        <v>295</v>
      </c>
      <c r="Y60" s="88"/>
      <c r="Z60" s="88" t="s">
        <v>295</v>
      </c>
      <c r="AA60" s="88"/>
      <c r="AB60" s="88" t="s">
        <v>295</v>
      </c>
      <c r="AC60" s="88"/>
      <c r="AD60" s="88" t="s">
        <v>295</v>
      </c>
    </row>
    <row r="61" spans="2:30" ht="12.75">
      <c r="B61" s="16" t="s">
        <v>266</v>
      </c>
      <c r="C61" s="16"/>
      <c r="F61" s="88" t="s">
        <v>118</v>
      </c>
      <c r="H61" s="88" t="s">
        <v>118</v>
      </c>
      <c r="J61" s="88" t="s">
        <v>118</v>
      </c>
      <c r="L61" s="88" t="s">
        <v>53</v>
      </c>
      <c r="N61" s="88" t="s">
        <v>53</v>
      </c>
      <c r="P61" s="88" t="s">
        <v>53</v>
      </c>
      <c r="R61" s="88" t="s">
        <v>199</v>
      </c>
      <c r="T61" s="88" t="s">
        <v>199</v>
      </c>
      <c r="U61" s="88"/>
      <c r="V61" s="88" t="s">
        <v>199</v>
      </c>
      <c r="W61" s="88"/>
      <c r="X61" s="88" t="s">
        <v>24</v>
      </c>
      <c r="Y61" s="88"/>
      <c r="Z61" s="88" t="s">
        <v>24</v>
      </c>
      <c r="AA61" s="88"/>
      <c r="AB61" s="88" t="s">
        <v>24</v>
      </c>
      <c r="AC61" s="88"/>
      <c r="AD61" s="88" t="s">
        <v>24</v>
      </c>
    </row>
    <row r="62" spans="2:30" ht="12.75">
      <c r="B62" s="16" t="s">
        <v>298</v>
      </c>
      <c r="C62" s="16"/>
      <c r="F62" s="88" t="s">
        <v>118</v>
      </c>
      <c r="H62" s="88" t="s">
        <v>118</v>
      </c>
      <c r="J62" s="88" t="s">
        <v>118</v>
      </c>
      <c r="L62" s="88" t="s">
        <v>53</v>
      </c>
      <c r="N62" s="88" t="s">
        <v>53</v>
      </c>
      <c r="P62" s="88" t="s">
        <v>53</v>
      </c>
      <c r="R62" s="88" t="s">
        <v>299</v>
      </c>
      <c r="T62" s="88" t="s">
        <v>299</v>
      </c>
      <c r="U62" s="88"/>
      <c r="V62" s="88" t="s">
        <v>299</v>
      </c>
      <c r="W62" s="88"/>
      <c r="X62" s="88" t="s">
        <v>24</v>
      </c>
      <c r="Y62" s="88"/>
      <c r="Z62" s="88" t="s">
        <v>24</v>
      </c>
      <c r="AA62" s="88"/>
      <c r="AB62" s="88" t="s">
        <v>24</v>
      </c>
      <c r="AC62" s="88"/>
      <c r="AD62" s="88" t="s">
        <v>24</v>
      </c>
    </row>
    <row r="63" spans="2:30" ht="12.75">
      <c r="B63" s="16" t="s">
        <v>47</v>
      </c>
      <c r="F63" s="88" t="s">
        <v>118</v>
      </c>
      <c r="H63" s="88" t="s">
        <v>118</v>
      </c>
      <c r="J63" s="88" t="s">
        <v>118</v>
      </c>
      <c r="L63" s="88" t="s">
        <v>198</v>
      </c>
      <c r="N63" s="88" t="s">
        <v>198</v>
      </c>
      <c r="P63" s="88" t="s">
        <v>198</v>
      </c>
      <c r="R63" s="88" t="s">
        <v>199</v>
      </c>
      <c r="T63" s="88" t="s">
        <v>199</v>
      </c>
      <c r="U63" s="88"/>
      <c r="V63" s="88" t="s">
        <v>199</v>
      </c>
      <c r="W63" s="88"/>
      <c r="X63" s="88" t="s">
        <v>24</v>
      </c>
      <c r="Y63" s="88"/>
      <c r="Z63" s="88" t="s">
        <v>24</v>
      </c>
      <c r="AA63" s="88"/>
      <c r="AB63" s="88" t="s">
        <v>24</v>
      </c>
      <c r="AC63" s="88"/>
      <c r="AD63" s="88" t="s">
        <v>24</v>
      </c>
    </row>
    <row r="64" spans="2:30" ht="12.75">
      <c r="B64" s="82" t="s">
        <v>98</v>
      </c>
      <c r="D64" s="82" t="s">
        <v>202</v>
      </c>
      <c r="E64" s="107"/>
      <c r="F64" s="101">
        <v>16226.021423639373</v>
      </c>
      <c r="G64" s="105"/>
      <c r="H64" s="101">
        <v>16468.529896003547</v>
      </c>
      <c r="I64" s="105"/>
      <c r="J64" s="101">
        <v>15432.357332265708</v>
      </c>
      <c r="K64" s="105"/>
      <c r="L64" s="101">
        <v>10405.818086899164</v>
      </c>
      <c r="M64" s="105"/>
      <c r="N64" s="101">
        <v>11750.637797282317</v>
      </c>
      <c r="O64" s="105"/>
      <c r="P64" s="101">
        <v>12852.949035301297</v>
      </c>
      <c r="Q64" s="105"/>
      <c r="R64" s="101">
        <v>189377.07069166</v>
      </c>
      <c r="S64" s="105"/>
      <c r="T64" s="101">
        <v>189817.9951868682</v>
      </c>
      <c r="U64" s="101"/>
      <c r="V64" s="101">
        <v>192463.54215811376</v>
      </c>
      <c r="W64" s="101"/>
      <c r="X64" s="101"/>
      <c r="Y64" s="101"/>
      <c r="Z64" s="101"/>
      <c r="AA64" s="101"/>
      <c r="AB64" s="101"/>
      <c r="AC64" s="101"/>
      <c r="AD64" s="101"/>
    </row>
    <row r="65" spans="2:30" ht="12.75">
      <c r="B65" s="82" t="s">
        <v>267</v>
      </c>
      <c r="D65" s="82" t="s">
        <v>204</v>
      </c>
      <c r="E65" s="107"/>
      <c r="F65" s="101">
        <v>12098</v>
      </c>
      <c r="G65" s="105"/>
      <c r="H65" s="101">
        <v>11442</v>
      </c>
      <c r="I65" s="105"/>
      <c r="J65" s="101">
        <v>11594</v>
      </c>
      <c r="K65" s="105"/>
      <c r="L65" s="101">
        <v>15568.213728813558</v>
      </c>
      <c r="M65" s="105"/>
      <c r="N65" s="101">
        <v>13786.48570356473</v>
      </c>
      <c r="O65" s="105"/>
      <c r="P65" s="101">
        <v>12604.111286449399</v>
      </c>
      <c r="Q65" s="105"/>
      <c r="R65" s="101"/>
      <c r="S65" s="105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spans="2:30" ht="12.75">
      <c r="B66" s="12" t="s">
        <v>301</v>
      </c>
      <c r="D66" s="82" t="s">
        <v>52</v>
      </c>
      <c r="E66" s="107"/>
      <c r="F66" s="101">
        <f>F65*F64/1000000</f>
        <v>196.30240718318913</v>
      </c>
      <c r="G66" s="105"/>
      <c r="H66" s="101">
        <f>H65*H64/1000000</f>
        <v>188.4329190700726</v>
      </c>
      <c r="I66" s="105"/>
      <c r="J66" s="101">
        <f>J65*J64/1000000</f>
        <v>178.92275091028864</v>
      </c>
      <c r="K66" s="105"/>
      <c r="L66" s="101">
        <f>L65*L64/1000000</f>
        <v>162</v>
      </c>
      <c r="M66" s="105"/>
      <c r="N66" s="101">
        <f>N65*N64/1000000</f>
        <v>162</v>
      </c>
      <c r="O66" s="105"/>
      <c r="P66" s="101">
        <f>P65*P64/1000000</f>
        <v>162</v>
      </c>
      <c r="Q66" s="105"/>
      <c r="R66" s="101"/>
      <c r="S66" s="105"/>
      <c r="T66" s="101"/>
      <c r="U66" s="101"/>
      <c r="V66" s="101"/>
      <c r="W66" s="101"/>
      <c r="X66" s="101">
        <f>SUM(L66,F66)</f>
        <v>358.30240718318913</v>
      </c>
      <c r="Y66" s="101"/>
      <c r="Z66" s="101">
        <f>SUM(N66,H66)</f>
        <v>350.43291907007256</v>
      </c>
      <c r="AA66" s="101"/>
      <c r="AB66" s="101">
        <f>SUM(P66,J66)</f>
        <v>340.92275091028864</v>
      </c>
      <c r="AC66" s="101"/>
      <c r="AD66" s="101">
        <f>AVERAGE(X66,Z66,AB66)</f>
        <v>349.88602572118344</v>
      </c>
    </row>
    <row r="67" spans="2:23" ht="12.75">
      <c r="B67" s="82" t="s">
        <v>48</v>
      </c>
      <c r="D67" s="82" t="s">
        <v>202</v>
      </c>
      <c r="E67" s="107"/>
      <c r="F67" s="102">
        <v>32.4495074</v>
      </c>
      <c r="G67" s="108" t="s">
        <v>28</v>
      </c>
      <c r="H67" s="102">
        <v>16.47</v>
      </c>
      <c r="I67" s="108" t="s">
        <v>28</v>
      </c>
      <c r="J67" s="102">
        <v>15.43</v>
      </c>
      <c r="K67" s="108"/>
      <c r="L67" s="102">
        <v>242.7286646</v>
      </c>
      <c r="M67" s="108"/>
      <c r="N67" s="102">
        <v>246.58451</v>
      </c>
      <c r="O67" s="108"/>
      <c r="P67" s="102">
        <v>309.9910106</v>
      </c>
      <c r="Q67" s="108"/>
      <c r="R67" s="102">
        <v>946.8117666</v>
      </c>
      <c r="S67" s="108"/>
      <c r="T67" s="102">
        <v>569.7215504</v>
      </c>
      <c r="U67" s="102" t="s">
        <v>28</v>
      </c>
      <c r="V67" s="102">
        <v>192.49</v>
      </c>
      <c r="W67" s="80"/>
    </row>
    <row r="68" spans="2:23" ht="12.75">
      <c r="B68" s="82" t="s">
        <v>81</v>
      </c>
      <c r="D68" s="82" t="s">
        <v>202</v>
      </c>
      <c r="E68" s="107"/>
      <c r="F68" s="102">
        <v>0.19466618</v>
      </c>
      <c r="G68" s="108"/>
      <c r="H68" s="102">
        <v>0.1333783</v>
      </c>
      <c r="I68" s="108"/>
      <c r="J68" s="102">
        <v>0.14351946</v>
      </c>
      <c r="K68" s="108"/>
      <c r="L68" s="102">
        <v>1.3426014</v>
      </c>
      <c r="M68" s="108"/>
      <c r="N68" s="102">
        <v>2.0899608</v>
      </c>
      <c r="O68" s="108"/>
      <c r="P68" s="102">
        <v>1.8761146</v>
      </c>
      <c r="Q68" s="108"/>
      <c r="R68" s="102">
        <v>0.8333388</v>
      </c>
      <c r="S68" s="108"/>
      <c r="T68" s="102">
        <v>1.0626172</v>
      </c>
      <c r="U68" s="102"/>
      <c r="V68" s="102">
        <v>0.826725</v>
      </c>
      <c r="W68" s="80"/>
    </row>
    <row r="69" spans="2:23" ht="12.75">
      <c r="B69" s="82" t="s">
        <v>83</v>
      </c>
      <c r="D69" s="82" t="s">
        <v>202</v>
      </c>
      <c r="E69" s="107"/>
      <c r="F69" s="102">
        <v>0.0242506</v>
      </c>
      <c r="G69" s="108"/>
      <c r="H69" s="102">
        <v>0.0198414</v>
      </c>
      <c r="I69" s="108"/>
      <c r="J69" s="102">
        <v>0.0231483</v>
      </c>
      <c r="K69" s="108"/>
      <c r="L69" s="102">
        <v>0.41843308</v>
      </c>
      <c r="M69" s="108"/>
      <c r="N69" s="102">
        <v>0.40322134</v>
      </c>
      <c r="O69" s="108"/>
      <c r="P69" s="102">
        <v>0.54277252</v>
      </c>
      <c r="Q69" s="108"/>
      <c r="R69" s="102">
        <v>0.05313086</v>
      </c>
      <c r="S69" s="108"/>
      <c r="T69" s="102">
        <v>0.06084696</v>
      </c>
      <c r="U69" s="102"/>
      <c r="V69" s="102">
        <v>0.06746076</v>
      </c>
      <c r="W69" s="80"/>
    </row>
    <row r="70" spans="2:23" ht="12.75">
      <c r="B70" s="82" t="s">
        <v>84</v>
      </c>
      <c r="D70" s="82" t="s">
        <v>202</v>
      </c>
      <c r="E70" s="107"/>
      <c r="F70" s="102">
        <v>0.00374782</v>
      </c>
      <c r="G70" s="108" t="s">
        <v>28</v>
      </c>
      <c r="H70" s="102">
        <v>0.0028</v>
      </c>
      <c r="I70" s="108" t="s">
        <v>28</v>
      </c>
      <c r="J70" s="102">
        <v>0.00262</v>
      </c>
      <c r="K70" s="108"/>
      <c r="L70" s="102">
        <v>3.902142</v>
      </c>
      <c r="M70" s="108"/>
      <c r="N70" s="102">
        <v>5.9171464</v>
      </c>
      <c r="O70" s="108"/>
      <c r="P70" s="102">
        <v>5.3858378</v>
      </c>
      <c r="Q70" s="108" t="s">
        <v>28</v>
      </c>
      <c r="R70" s="102">
        <v>0.032198</v>
      </c>
      <c r="S70" s="108" t="s">
        <v>28</v>
      </c>
      <c r="T70" s="102">
        <v>0.03227</v>
      </c>
      <c r="U70" s="102" t="s">
        <v>28</v>
      </c>
      <c r="V70" s="102">
        <v>0.03272</v>
      </c>
      <c r="W70" s="80"/>
    </row>
    <row r="71" spans="2:23" ht="12.75">
      <c r="B71" s="82" t="s">
        <v>113</v>
      </c>
      <c r="D71" s="82" t="s">
        <v>202</v>
      </c>
      <c r="E71" s="107"/>
      <c r="F71" s="102">
        <v>0.30820308</v>
      </c>
      <c r="G71" s="108"/>
      <c r="H71" s="102">
        <v>0.36221578</v>
      </c>
      <c r="I71" s="108"/>
      <c r="J71" s="102">
        <v>0.2006186</v>
      </c>
      <c r="K71" s="108"/>
      <c r="L71" s="102">
        <v>23.5186728</v>
      </c>
      <c r="M71" s="108"/>
      <c r="N71" s="102">
        <v>21.9644298</v>
      </c>
      <c r="O71" s="108"/>
      <c r="P71" s="102">
        <v>23.170346</v>
      </c>
      <c r="Q71" s="108"/>
      <c r="R71" s="102">
        <v>3.218716</v>
      </c>
      <c r="S71" s="108"/>
      <c r="T71" s="102">
        <v>3.6089302</v>
      </c>
      <c r="U71" s="102"/>
      <c r="V71" s="102">
        <v>3.8492316</v>
      </c>
      <c r="W71" s="80"/>
    </row>
    <row r="72" spans="2:23" ht="12.75">
      <c r="B72" s="82" t="s">
        <v>79</v>
      </c>
      <c r="D72" s="82" t="s">
        <v>202</v>
      </c>
      <c r="E72" s="107"/>
      <c r="F72" s="102">
        <v>0.1168438</v>
      </c>
      <c r="G72" s="108"/>
      <c r="H72" s="102">
        <v>0.21406666</v>
      </c>
      <c r="I72" s="108"/>
      <c r="J72" s="102">
        <v>0.1003093</v>
      </c>
      <c r="K72" s="108"/>
      <c r="L72" s="102">
        <v>21.1134542</v>
      </c>
      <c r="M72" s="108"/>
      <c r="N72" s="102">
        <v>27.5552954</v>
      </c>
      <c r="O72" s="108"/>
      <c r="P72" s="102">
        <v>25.2845574</v>
      </c>
      <c r="Q72" s="108"/>
      <c r="R72" s="102">
        <v>0.15145602</v>
      </c>
      <c r="S72" s="108"/>
      <c r="T72" s="102">
        <v>0.11397782</v>
      </c>
      <c r="U72" s="102"/>
      <c r="V72" s="102">
        <v>0.13470106</v>
      </c>
      <c r="W72" s="80"/>
    </row>
    <row r="73" spans="5:23" ht="12.75">
      <c r="E73" s="107"/>
      <c r="F73" s="80"/>
      <c r="G73" s="107"/>
      <c r="H73" s="80"/>
      <c r="I73" s="107"/>
      <c r="J73" s="80"/>
      <c r="K73" s="107"/>
      <c r="L73" s="80"/>
      <c r="M73" s="107"/>
      <c r="N73" s="80"/>
      <c r="O73" s="107"/>
      <c r="P73" s="80"/>
      <c r="Q73" s="107"/>
      <c r="R73" s="80"/>
      <c r="S73" s="107"/>
      <c r="T73" s="80"/>
      <c r="U73" s="80"/>
      <c r="V73" s="80"/>
      <c r="W73" s="80"/>
    </row>
    <row r="74" spans="2:23" ht="12.75">
      <c r="B74" s="16" t="s">
        <v>59</v>
      </c>
      <c r="C74" s="16"/>
      <c r="D74" s="16" t="s">
        <v>16</v>
      </c>
      <c r="E74" s="107"/>
      <c r="F74" s="80">
        <f>'emiss 2'!G139</f>
        <v>122281</v>
      </c>
      <c r="G74" s="107"/>
      <c r="H74" s="80">
        <f>'emiss 2'!I139</f>
        <v>112928</v>
      </c>
      <c r="I74" s="107"/>
      <c r="J74" s="80">
        <f>'emiss 2'!K139</f>
        <v>113123</v>
      </c>
      <c r="K74" s="107"/>
      <c r="L74" s="80">
        <f>F74</f>
        <v>122281</v>
      </c>
      <c r="M74" s="107"/>
      <c r="N74" s="80">
        <f>H74</f>
        <v>112928</v>
      </c>
      <c r="O74" s="107"/>
      <c r="P74" s="80">
        <f>J74</f>
        <v>113123</v>
      </c>
      <c r="Q74" s="107"/>
      <c r="R74" s="80">
        <f>L74</f>
        <v>122281</v>
      </c>
      <c r="S74" s="107"/>
      <c r="T74" s="80">
        <f>N74</f>
        <v>112928</v>
      </c>
      <c r="U74" s="80"/>
      <c r="V74" s="80">
        <f>P74</f>
        <v>113123</v>
      </c>
      <c r="W74" s="80"/>
    </row>
    <row r="75" spans="2:23" ht="12.75">
      <c r="B75" s="16" t="s">
        <v>60</v>
      </c>
      <c r="C75" s="16"/>
      <c r="D75" s="16" t="s">
        <v>17</v>
      </c>
      <c r="E75" s="107"/>
      <c r="F75" s="80">
        <f>'emiss 2'!G140</f>
        <v>8.1</v>
      </c>
      <c r="G75" s="107"/>
      <c r="H75" s="80">
        <f>'emiss 2'!I140</f>
        <v>8.29</v>
      </c>
      <c r="I75" s="107"/>
      <c r="J75" s="80">
        <f>'emiss 2'!K140</f>
        <v>8.05</v>
      </c>
      <c r="K75" s="107"/>
      <c r="L75" s="80">
        <f>F75</f>
        <v>8.1</v>
      </c>
      <c r="M75" s="107"/>
      <c r="N75" s="80">
        <f>H75</f>
        <v>8.29</v>
      </c>
      <c r="O75" s="107"/>
      <c r="P75" s="80">
        <f>J75</f>
        <v>8.05</v>
      </c>
      <c r="Q75" s="107"/>
      <c r="R75" s="80">
        <f>L75</f>
        <v>8.1</v>
      </c>
      <c r="S75" s="107"/>
      <c r="T75" s="80">
        <f>N75</f>
        <v>8.29</v>
      </c>
      <c r="U75" s="80"/>
      <c r="V75" s="80">
        <f>P75</f>
        <v>8.05</v>
      </c>
      <c r="W75" s="80"/>
    </row>
    <row r="76" spans="5:23" ht="12.75">
      <c r="E76" s="107"/>
      <c r="F76" s="80"/>
      <c r="G76" s="107"/>
      <c r="H76" s="80"/>
      <c r="I76" s="107"/>
      <c r="J76" s="80"/>
      <c r="K76" s="107"/>
      <c r="L76" s="80"/>
      <c r="M76" s="107"/>
      <c r="N76" s="80"/>
      <c r="O76" s="107"/>
      <c r="P76" s="80"/>
      <c r="Q76" s="107"/>
      <c r="R76" s="80"/>
      <c r="S76" s="107"/>
      <c r="T76" s="80"/>
      <c r="U76" s="80"/>
      <c r="V76" s="80"/>
      <c r="W76" s="80"/>
    </row>
    <row r="77" spans="2:23" ht="12.75">
      <c r="B77" s="57" t="s">
        <v>73</v>
      </c>
      <c r="C77" s="57"/>
      <c r="E77" s="107"/>
      <c r="F77" s="80"/>
      <c r="G77" s="107"/>
      <c r="H77" s="80"/>
      <c r="I77" s="107"/>
      <c r="J77" s="80"/>
      <c r="K77" s="107"/>
      <c r="L77" s="80"/>
      <c r="M77" s="107"/>
      <c r="N77" s="80"/>
      <c r="O77" s="107"/>
      <c r="P77" s="80"/>
      <c r="Q77" s="107"/>
      <c r="R77" s="80"/>
      <c r="S77" s="107"/>
      <c r="T77" s="80"/>
      <c r="U77" s="80"/>
      <c r="V77" s="80"/>
      <c r="W77" s="80"/>
    </row>
    <row r="78" spans="2:48" ht="12.75">
      <c r="B78" s="82" t="s">
        <v>48</v>
      </c>
      <c r="D78" s="82" t="s">
        <v>54</v>
      </c>
      <c r="E78" s="107"/>
      <c r="F78" s="101">
        <f>F67*454*1000000/0.0283/60*14/(21-F$75)/F$74</f>
        <v>77002.64071117244</v>
      </c>
      <c r="G78" s="105">
        <v>100</v>
      </c>
      <c r="H78" s="101">
        <f>H67*454*1000000/0.0283/60*14/(21-H$75)/H$74</f>
        <v>42952.912230384056</v>
      </c>
      <c r="I78" s="105">
        <v>100</v>
      </c>
      <c r="J78" s="101">
        <f aca="true" t="shared" si="18" ref="J78:J83">J67*454*1000000/0.0283/60*14/(21-J$75)/J$74</f>
        <v>39426.79241329271</v>
      </c>
      <c r="K78" s="105"/>
      <c r="L78" s="101">
        <f aca="true" t="shared" si="19" ref="L78:L83">L67*454*1000000/0.0283/60*14/(21-L$75)/L$74</f>
        <v>575994.819277179</v>
      </c>
      <c r="M78" s="105"/>
      <c r="N78" s="101">
        <f aca="true" t="shared" si="20" ref="N78:N83">N67*454*1000000/0.0283/60*14/(21-N$75)/N$74</f>
        <v>643079.7094961907</v>
      </c>
      <c r="O78" s="105"/>
      <c r="P78" s="101">
        <f aca="true" t="shared" si="21" ref="P78:P83">P67*454*1000000/0.0283/60*14/(21-P$75)/P$74</f>
        <v>792090.1636366183</v>
      </c>
      <c r="Q78" s="105"/>
      <c r="R78" s="101">
        <f aca="true" t="shared" si="22" ref="R78:R83">R67*454*1000000/0.0283/60*14/(21-R$75)/R$74</f>
        <v>2246783.1448378246</v>
      </c>
      <c r="S78" s="105"/>
      <c r="T78" s="101">
        <f aca="true" t="shared" si="23" ref="T78:T83">T67*454*1000000/0.0283/60*14/(21-T$75)/T$74</f>
        <v>1485804.4778439305</v>
      </c>
      <c r="U78" s="101">
        <v>100</v>
      </c>
      <c r="V78" s="101">
        <f aca="true" t="shared" si="24" ref="V78:V83">V67*454*1000000/0.0283/60*14/(21-V$75)/V$74</f>
        <v>491851.15175856865</v>
      </c>
      <c r="W78" s="101"/>
      <c r="X78" s="101">
        <f>R78+L78+F78</f>
        <v>2899780.604826176</v>
      </c>
      <c r="Y78" s="101">
        <f>SUM((T78*S78/100),(H78*G78/100))/Z78*100</f>
        <v>1.977722557501125</v>
      </c>
      <c r="Z78" s="101">
        <f>T78+N78+H78</f>
        <v>2171837.0995705053</v>
      </c>
      <c r="AA78" s="101">
        <f>SUM((V78*U78/100),(J78*I78/100))/AB78*100</f>
        <v>40.145892970903375</v>
      </c>
      <c r="AB78" s="101">
        <f>V78+P78+J78</f>
        <v>1323368.1078084796</v>
      </c>
      <c r="AC78" s="101">
        <f>SUM((AB78*AA78/100),(Z78*Y78/100),(X78*U78/100))/AD78*100/3</f>
        <v>54.32399012673477</v>
      </c>
      <c r="AD78" s="101">
        <f aca="true" t="shared" si="25" ref="AD78:AD85">AVERAGE(X78,Z78,AB78)</f>
        <v>2131661.937401721</v>
      </c>
      <c r="AS78" s="84">
        <f>AVERAGE(L78,N78,P78)</f>
        <v>670388.2308033294</v>
      </c>
      <c r="AT78" s="84"/>
      <c r="AU78" s="84">
        <f>AVERAGE(F78,H78,J78)+AVERAGE(R78,T78,V78)</f>
        <v>1461273.706598391</v>
      </c>
      <c r="AV78" s="84">
        <f>SUM(AS78,AT78,AU78)</f>
        <v>2131661.9374017203</v>
      </c>
    </row>
    <row r="79" spans="2:30" ht="12.75">
      <c r="B79" s="82" t="s">
        <v>81</v>
      </c>
      <c r="D79" s="82" t="s">
        <v>54</v>
      </c>
      <c r="E79" s="107"/>
      <c r="F79" s="101">
        <f aca="true" t="shared" si="26" ref="F79:H83">F68*454*1000000/0.0283/60*14/(21-F$75)/F$74</f>
        <v>461.9426030842127</v>
      </c>
      <c r="G79" s="105"/>
      <c r="H79" s="101">
        <f t="shared" si="26"/>
        <v>347.84374094340234</v>
      </c>
      <c r="I79" s="105"/>
      <c r="J79" s="101">
        <f t="shared" si="18"/>
        <v>366.7214489104255</v>
      </c>
      <c r="K79" s="105"/>
      <c r="L79" s="101">
        <f t="shared" si="19"/>
        <v>3185.991452755217</v>
      </c>
      <c r="M79" s="105"/>
      <c r="N79" s="101">
        <f t="shared" si="20"/>
        <v>5450.510188666865</v>
      </c>
      <c r="O79" s="105"/>
      <c r="P79" s="101">
        <f t="shared" si="21"/>
        <v>4793.854885142429</v>
      </c>
      <c r="Q79" s="105"/>
      <c r="R79" s="101">
        <f t="shared" si="22"/>
        <v>1977.5119361928926</v>
      </c>
      <c r="S79" s="105"/>
      <c r="T79" s="101">
        <f t="shared" si="23"/>
        <v>2771.250960904461</v>
      </c>
      <c r="U79" s="101"/>
      <c r="V79" s="101">
        <f t="shared" si="24"/>
        <v>2112.450742571576</v>
      </c>
      <c r="W79" s="101"/>
      <c r="X79" s="101">
        <f aca="true" t="shared" si="27" ref="X79:AB83">R79+L79+F79</f>
        <v>5625.445992032322</v>
      </c>
      <c r="Y79" s="101"/>
      <c r="Z79" s="101">
        <f t="shared" si="27"/>
        <v>8569.604890514729</v>
      </c>
      <c r="AA79" s="101"/>
      <c r="AB79" s="101">
        <f t="shared" si="27"/>
        <v>7273.027076624431</v>
      </c>
      <c r="AC79" s="101"/>
      <c r="AD79" s="101">
        <f t="shared" si="25"/>
        <v>7156.025986390494</v>
      </c>
    </row>
    <row r="80" spans="2:30" ht="12.75">
      <c r="B80" s="82" t="s">
        <v>83</v>
      </c>
      <c r="D80" s="82" t="s">
        <v>54</v>
      </c>
      <c r="E80" s="107"/>
      <c r="F80" s="101">
        <f t="shared" si="26"/>
        <v>57.54664364582492</v>
      </c>
      <c r="G80" s="105"/>
      <c r="H80" s="101">
        <f t="shared" si="26"/>
        <v>51.74534989240694</v>
      </c>
      <c r="I80" s="105"/>
      <c r="J80" s="101">
        <f t="shared" si="18"/>
        <v>59.14862079200413</v>
      </c>
      <c r="K80" s="105"/>
      <c r="L80" s="101">
        <f t="shared" si="19"/>
        <v>992.9411785434155</v>
      </c>
      <c r="M80" s="105"/>
      <c r="N80" s="101">
        <f t="shared" si="20"/>
        <v>1051.580499480137</v>
      </c>
      <c r="O80" s="105"/>
      <c r="P80" s="101">
        <f t="shared" si="21"/>
        <v>1386.8943275229922</v>
      </c>
      <c r="Q80" s="105"/>
      <c r="R80" s="101">
        <f t="shared" si="22"/>
        <v>126.07946471494368</v>
      </c>
      <c r="S80" s="105"/>
      <c r="T80" s="101">
        <f t="shared" si="23"/>
        <v>158.68573967004795</v>
      </c>
      <c r="U80" s="101"/>
      <c r="V80" s="101">
        <f t="shared" si="24"/>
        <v>172.37598059384055</v>
      </c>
      <c r="W80" s="101"/>
      <c r="X80" s="101">
        <f t="shared" si="27"/>
        <v>1176.567286904184</v>
      </c>
      <c r="Y80" s="101"/>
      <c r="Z80" s="101">
        <f t="shared" si="27"/>
        <v>1262.0115890425918</v>
      </c>
      <c r="AA80" s="101"/>
      <c r="AB80" s="101">
        <f t="shared" si="27"/>
        <v>1618.4189289088367</v>
      </c>
      <c r="AC80" s="101"/>
      <c r="AD80" s="101">
        <f t="shared" si="25"/>
        <v>1352.3326016185376</v>
      </c>
    </row>
    <row r="81" spans="2:30" ht="12.75">
      <c r="B81" s="82" t="s">
        <v>84</v>
      </c>
      <c r="D81" s="82" t="s">
        <v>54</v>
      </c>
      <c r="E81" s="107"/>
      <c r="F81" s="101">
        <f t="shared" si="26"/>
        <v>8.893572199809306</v>
      </c>
      <c r="G81" s="105">
        <v>100</v>
      </c>
      <c r="H81" s="101">
        <f t="shared" si="26"/>
        <v>7.302255874017934</v>
      </c>
      <c r="I81" s="105">
        <v>100</v>
      </c>
      <c r="J81" s="101">
        <f t="shared" si="18"/>
        <v>6.694633578925915</v>
      </c>
      <c r="K81" s="105"/>
      <c r="L81" s="101">
        <f t="shared" si="19"/>
        <v>9259.7781139191</v>
      </c>
      <c r="M81" s="105"/>
      <c r="N81" s="101">
        <f t="shared" si="20"/>
        <v>15431.613234580025</v>
      </c>
      <c r="O81" s="105"/>
      <c r="P81" s="101">
        <f t="shared" si="21"/>
        <v>13761.912437606295</v>
      </c>
      <c r="Q81" s="105">
        <v>100</v>
      </c>
      <c r="R81" s="101">
        <f t="shared" si="22"/>
        <v>76.40581396370689</v>
      </c>
      <c r="S81" s="105">
        <v>100</v>
      </c>
      <c r="T81" s="101">
        <f t="shared" si="23"/>
        <v>84.1584989480567</v>
      </c>
      <c r="U81" s="101">
        <v>100</v>
      </c>
      <c r="V81" s="101">
        <f t="shared" si="24"/>
        <v>83.60626362689162</v>
      </c>
      <c r="W81" s="101">
        <f>SUM((R81*Q81/100),(F81*E81/100))/X81*100</f>
        <v>0.8176049258342847</v>
      </c>
      <c r="X81" s="101">
        <f t="shared" si="27"/>
        <v>9345.077500082616</v>
      </c>
      <c r="Y81" s="101">
        <f>SUM((T81*S81/100),(H81*G81/100))/Z81*100</f>
        <v>0.5891922881029662</v>
      </c>
      <c r="Z81" s="101">
        <f t="shared" si="27"/>
        <v>15523.073989402099</v>
      </c>
      <c r="AA81" s="101">
        <f>SUM((V81*U81/100),(J81*I81/100))/AB81*100</f>
        <v>0.65188786097368</v>
      </c>
      <c r="AB81" s="101">
        <f t="shared" si="27"/>
        <v>13852.213334812111</v>
      </c>
      <c r="AC81" s="101">
        <f>SUM((AB81*AA81/100),(Z81*Y81/100),(X81*U81/100))/AD81*100/3</f>
        <v>24.604208135281993</v>
      </c>
      <c r="AD81" s="101">
        <f t="shared" si="25"/>
        <v>12906.78827476561</v>
      </c>
    </row>
    <row r="82" spans="2:30" ht="12.75">
      <c r="B82" s="82" t="s">
        <v>113</v>
      </c>
      <c r="D82" s="82" t="s">
        <v>54</v>
      </c>
      <c r="E82" s="107"/>
      <c r="F82" s="101">
        <f t="shared" si="26"/>
        <v>731.3655256078476</v>
      </c>
      <c r="G82" s="105"/>
      <c r="H82" s="101">
        <f t="shared" si="26"/>
        <v>944.6401097024957</v>
      </c>
      <c r="I82" s="105"/>
      <c r="J82" s="101">
        <f t="shared" si="18"/>
        <v>512.6213801973691</v>
      </c>
      <c r="K82" s="105"/>
      <c r="L82" s="101">
        <f t="shared" si="19"/>
        <v>55809.78131033275</v>
      </c>
      <c r="M82" s="105"/>
      <c r="N82" s="101">
        <f t="shared" si="20"/>
        <v>57282.102330894486</v>
      </c>
      <c r="O82" s="105"/>
      <c r="P82" s="101">
        <f t="shared" si="21"/>
        <v>59204.95281180603</v>
      </c>
      <c r="Q82" s="105"/>
      <c r="R82" s="101">
        <f t="shared" si="22"/>
        <v>7638.009065718579</v>
      </c>
      <c r="S82" s="105"/>
      <c r="T82" s="101">
        <f t="shared" si="23"/>
        <v>9411.904197096685</v>
      </c>
      <c r="U82" s="101"/>
      <c r="V82" s="101">
        <f t="shared" si="24"/>
        <v>9835.570657413256</v>
      </c>
      <c r="W82" s="101"/>
      <c r="X82" s="101">
        <f t="shared" si="27"/>
        <v>64179.15590165918</v>
      </c>
      <c r="Y82" s="101"/>
      <c r="Z82" s="101">
        <f t="shared" si="27"/>
        <v>67638.64663769366</v>
      </c>
      <c r="AA82" s="101"/>
      <c r="AB82" s="101">
        <f t="shared" si="27"/>
        <v>69553.14484941665</v>
      </c>
      <c r="AC82" s="101"/>
      <c r="AD82" s="101">
        <f t="shared" si="25"/>
        <v>67123.64912958983</v>
      </c>
    </row>
    <row r="83" spans="2:30" ht="12.75">
      <c r="B83" s="82" t="s">
        <v>79</v>
      </c>
      <c r="D83" s="82" t="s">
        <v>54</v>
      </c>
      <c r="E83" s="107"/>
      <c r="F83" s="101">
        <f t="shared" si="26"/>
        <v>277.2701921117018</v>
      </c>
      <c r="G83" s="105"/>
      <c r="H83" s="101">
        <f t="shared" si="26"/>
        <v>558.274830505857</v>
      </c>
      <c r="I83" s="105"/>
      <c r="J83" s="101">
        <f t="shared" si="18"/>
        <v>256.3106900986846</v>
      </c>
      <c r="K83" s="105"/>
      <c r="L83" s="101">
        <f t="shared" si="19"/>
        <v>50102.20056327865</v>
      </c>
      <c r="M83" s="105"/>
      <c r="N83" s="101">
        <f t="shared" si="20"/>
        <v>71862.79203391049</v>
      </c>
      <c r="O83" s="105"/>
      <c r="P83" s="101">
        <f t="shared" si="21"/>
        <v>64607.19351080907</v>
      </c>
      <c r="Q83" s="105"/>
      <c r="R83" s="101">
        <f t="shared" si="22"/>
        <v>359.4049471334702</v>
      </c>
      <c r="S83" s="105"/>
      <c r="T83" s="101">
        <f t="shared" si="23"/>
        <v>297.24828771527103</v>
      </c>
      <c r="U83" s="101"/>
      <c r="V83" s="101">
        <f t="shared" si="24"/>
        <v>344.18864098966213</v>
      </c>
      <c r="W83" s="101"/>
      <c r="X83" s="101">
        <f t="shared" si="27"/>
        <v>50738.87570252383</v>
      </c>
      <c r="Y83" s="101"/>
      <c r="Z83" s="101">
        <f t="shared" si="27"/>
        <v>72718.31515213162</v>
      </c>
      <c r="AA83" s="101"/>
      <c r="AB83" s="101">
        <f t="shared" si="27"/>
        <v>65207.69284189741</v>
      </c>
      <c r="AC83" s="101"/>
      <c r="AD83" s="101">
        <f t="shared" si="25"/>
        <v>62888.29456551762</v>
      </c>
    </row>
    <row r="84" spans="2:48" ht="12.75">
      <c r="B84" s="82" t="s">
        <v>55</v>
      </c>
      <c r="D84" s="82" t="s">
        <v>54</v>
      </c>
      <c r="E84" s="107"/>
      <c r="F84" s="101">
        <f>F81+F83</f>
        <v>286.1637643115111</v>
      </c>
      <c r="G84" s="105">
        <f>H81/H84*100</f>
        <v>1.2911159327118333</v>
      </c>
      <c r="H84" s="101">
        <f>H81+H83</f>
        <v>565.577086379875</v>
      </c>
      <c r="I84" s="105">
        <f>J81/J84*100</f>
        <v>2.5454365277914053</v>
      </c>
      <c r="J84" s="101">
        <f>J81+J83</f>
        <v>263.0053236776105</v>
      </c>
      <c r="K84" s="105"/>
      <c r="L84" s="101">
        <f>L81+L83</f>
        <v>59361.97867719775</v>
      </c>
      <c r="M84" s="105"/>
      <c r="N84" s="101">
        <f>N81+N83</f>
        <v>87294.40526849052</v>
      </c>
      <c r="O84" s="105"/>
      <c r="P84" s="101">
        <f>P81+P83</f>
        <v>78369.10594841537</v>
      </c>
      <c r="Q84" s="105">
        <f>R81/R84*100</f>
        <v>19.216374418385072</v>
      </c>
      <c r="R84" s="101">
        <f>R81/2+R83</f>
        <v>397.6078541153237</v>
      </c>
      <c r="S84" s="105">
        <f>T81/T84*100</f>
        <v>24.80155299070453</v>
      </c>
      <c r="T84" s="101">
        <f>T81/2+T83</f>
        <v>339.3275371892994</v>
      </c>
      <c r="U84" s="101">
        <f>V81/V84*100</f>
        <v>21.66011545265206</v>
      </c>
      <c r="V84" s="101">
        <f>V81/2+V83</f>
        <v>385.99177280310795</v>
      </c>
      <c r="W84" s="101">
        <f>SUM((R84*Q84/100),(F84*E84/100))/X84*100</f>
        <v>0.12724599757274482</v>
      </c>
      <c r="X84" s="101">
        <f>R84+L84+F84</f>
        <v>60045.75029562459</v>
      </c>
      <c r="Y84" s="101">
        <f>SUM((T84*S84/100),(H84*G84/100))/Z84*100</f>
        <v>0.10369781230035291</v>
      </c>
      <c r="Z84" s="101">
        <f>T84+N84+H84</f>
        <v>88199.30989205968</v>
      </c>
      <c r="AA84" s="101">
        <f>SUM((V84*U84/100),(J84*I84/100))/AB84*100</f>
        <v>0.11427874591536427</v>
      </c>
      <c r="AB84" s="101">
        <f>V84+P84+J84</f>
        <v>79018.1030448961</v>
      </c>
      <c r="AC84" s="101">
        <f>SUM((AB84*AA84/100),(Z84*Y84/100),(X84*W84/100))/AD84*100/3</f>
        <v>0.11359846546155451</v>
      </c>
      <c r="AD84" s="101">
        <f t="shared" si="25"/>
        <v>75754.38774419345</v>
      </c>
      <c r="AF84" s="84"/>
      <c r="AS84" s="84">
        <f>AVERAGE(L84,N84,P84)</f>
        <v>75008.49663136787</v>
      </c>
      <c r="AT84" s="84"/>
      <c r="AU84" s="84">
        <f>AVERAGE(F84,H84,J84)+AVERAGE(R84,T84,V84)</f>
        <v>745.8911128255759</v>
      </c>
      <c r="AV84" s="84">
        <f>SUM(AS84,AT84,AU84)</f>
        <v>75754.38774419345</v>
      </c>
    </row>
    <row r="85" spans="2:48" ht="12.75">
      <c r="B85" s="82" t="s">
        <v>56</v>
      </c>
      <c r="D85" s="82" t="s">
        <v>54</v>
      </c>
      <c r="E85" s="107"/>
      <c r="F85" s="101">
        <f>F79+F80+F82</f>
        <v>1250.8547723378852</v>
      </c>
      <c r="G85" s="105"/>
      <c r="H85" s="101">
        <f>H79+H80+H82</f>
        <v>1344.229200538305</v>
      </c>
      <c r="I85" s="105"/>
      <c r="J85" s="101">
        <f>J79+J80+J82</f>
        <v>938.4914498997988</v>
      </c>
      <c r="K85" s="105"/>
      <c r="L85" s="101">
        <f>L79+L80+L82</f>
        <v>59988.71394163138</v>
      </c>
      <c r="M85" s="105"/>
      <c r="N85" s="101">
        <f>N79+N80+N82</f>
        <v>63784.193019041486</v>
      </c>
      <c r="O85" s="105"/>
      <c r="P85" s="101">
        <f>P79+P80+P82</f>
        <v>65385.70202447145</v>
      </c>
      <c r="Q85" s="105"/>
      <c r="R85" s="101">
        <f>R79+R80+R82</f>
        <v>9741.600466626416</v>
      </c>
      <c r="S85" s="105"/>
      <c r="T85" s="101">
        <f>T79+T80+T82</f>
        <v>12341.840897671194</v>
      </c>
      <c r="U85" s="101"/>
      <c r="V85" s="101">
        <f>V79+V80+V82</f>
        <v>12120.397380578674</v>
      </c>
      <c r="W85" s="101"/>
      <c r="X85" s="101">
        <f>R85+L85+F85</f>
        <v>70981.16918059568</v>
      </c>
      <c r="Y85" s="101"/>
      <c r="Z85" s="101">
        <f>T85+N85+H85</f>
        <v>77470.26311725099</v>
      </c>
      <c r="AA85" s="101"/>
      <c r="AB85" s="101">
        <f>V85+P85+J85</f>
        <v>78444.59085494993</v>
      </c>
      <c r="AC85" s="101"/>
      <c r="AD85" s="101">
        <f t="shared" si="25"/>
        <v>75632.00771759886</v>
      </c>
      <c r="AS85" s="84">
        <f>AVERAGE(L85,N85,P85)</f>
        <v>63052.86966171477</v>
      </c>
      <c r="AT85" s="84"/>
      <c r="AU85" s="84">
        <f>AVERAGE(F85,H85,J85)+AVERAGE(R85,T85,V85)</f>
        <v>12579.13805588409</v>
      </c>
      <c r="AV85" s="84">
        <f>SUM(AS85,AT85,AU85)</f>
        <v>75632.00771759887</v>
      </c>
    </row>
    <row r="86" spans="5:34" ht="12.75">
      <c r="E86" s="107"/>
      <c r="F86" s="80"/>
      <c r="G86" s="107"/>
      <c r="H86" s="80"/>
      <c r="I86" s="107"/>
      <c r="J86" s="80"/>
      <c r="K86" s="107"/>
      <c r="L86" s="80"/>
      <c r="M86" s="107"/>
      <c r="N86" s="80"/>
      <c r="O86" s="107"/>
      <c r="P86" s="80"/>
      <c r="Q86" s="107"/>
      <c r="R86" s="80"/>
      <c r="S86" s="107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</row>
    <row r="87" spans="5:34" ht="12.75">
      <c r="E87" s="107"/>
      <c r="F87" s="80"/>
      <c r="G87" s="107"/>
      <c r="H87" s="80"/>
      <c r="I87" s="107"/>
      <c r="J87" s="80"/>
      <c r="K87" s="107"/>
      <c r="L87" s="80"/>
      <c r="M87" s="107"/>
      <c r="N87" s="80"/>
      <c r="O87" s="107"/>
      <c r="P87" s="80"/>
      <c r="Q87" s="107"/>
      <c r="R87" s="80"/>
      <c r="S87" s="107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</row>
    <row r="88" spans="1:34" ht="12.75">
      <c r="A88" s="82" t="s">
        <v>97</v>
      </c>
      <c r="B88" s="24" t="s">
        <v>185</v>
      </c>
      <c r="C88" s="24"/>
      <c r="E88" s="107"/>
      <c r="F88" s="80" t="s">
        <v>188</v>
      </c>
      <c r="G88" s="107"/>
      <c r="H88" s="80" t="s">
        <v>189</v>
      </c>
      <c r="I88" s="107"/>
      <c r="J88" s="80" t="s">
        <v>190</v>
      </c>
      <c r="K88" s="107"/>
      <c r="L88" s="82" t="s">
        <v>161</v>
      </c>
      <c r="M88" s="107"/>
      <c r="N88" s="80"/>
      <c r="O88" s="107"/>
      <c r="P88" s="80"/>
      <c r="Q88" s="107"/>
      <c r="R88" s="80"/>
      <c r="S88" s="107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</row>
    <row r="89" spans="2:34" ht="12.75">
      <c r="B89" s="24"/>
      <c r="C89" s="24"/>
      <c r="E89" s="107"/>
      <c r="F89" s="80"/>
      <c r="G89" s="107"/>
      <c r="H89" s="80"/>
      <c r="I89" s="107"/>
      <c r="J89" s="80"/>
      <c r="K89" s="107"/>
      <c r="L89" s="80"/>
      <c r="M89" s="107"/>
      <c r="N89" s="80"/>
      <c r="O89" s="107"/>
      <c r="P89" s="80"/>
      <c r="Q89" s="107"/>
      <c r="R89" s="80"/>
      <c r="S89" s="107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</row>
    <row r="90" spans="2:34" ht="12.75">
      <c r="B90" s="16" t="s">
        <v>265</v>
      </c>
      <c r="C90" s="16"/>
      <c r="D90" s="24"/>
      <c r="F90" s="88">
        <v>1</v>
      </c>
      <c r="H90" s="88">
        <v>1</v>
      </c>
      <c r="J90" s="88">
        <v>1</v>
      </c>
      <c r="L90" s="88">
        <v>1</v>
      </c>
      <c r="N90" s="88"/>
      <c r="P90" s="88"/>
      <c r="Q90" s="107"/>
      <c r="R90" s="80"/>
      <c r="S90" s="107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</row>
    <row r="91" spans="2:34" ht="12.75">
      <c r="B91" s="16" t="s">
        <v>266</v>
      </c>
      <c r="C91" s="16"/>
      <c r="F91" s="82" t="s">
        <v>118</v>
      </c>
      <c r="H91" s="82" t="s">
        <v>118</v>
      </c>
      <c r="J91" s="82" t="s">
        <v>118</v>
      </c>
      <c r="L91" s="82" t="s">
        <v>118</v>
      </c>
      <c r="Q91" s="107"/>
      <c r="R91" s="80"/>
      <c r="S91" s="107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</row>
    <row r="92" spans="2:34" ht="12.75">
      <c r="B92" s="82" t="s">
        <v>98</v>
      </c>
      <c r="E92" s="107"/>
      <c r="F92" s="84">
        <v>11508.129324918142</v>
      </c>
      <c r="G92" s="109"/>
      <c r="H92" s="84">
        <v>11045.158604950171</v>
      </c>
      <c r="I92" s="109"/>
      <c r="J92" s="84">
        <v>10008.98604121233</v>
      </c>
      <c r="K92" s="109"/>
      <c r="L92" s="84">
        <f>AVERAGE(F92,H92,J92)</f>
        <v>10854.091323693547</v>
      </c>
      <c r="M92" s="107"/>
      <c r="N92" s="80"/>
      <c r="O92" s="107"/>
      <c r="P92" s="80"/>
      <c r="Q92" s="107"/>
      <c r="R92" s="80"/>
      <c r="S92" s="107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</row>
    <row r="93" spans="2:34" ht="12.75">
      <c r="B93" s="82" t="s">
        <v>267</v>
      </c>
      <c r="E93" s="107"/>
      <c r="F93" s="84">
        <v>12339.103601532568</v>
      </c>
      <c r="G93" s="109"/>
      <c r="H93" s="84">
        <v>12041.47489021956</v>
      </c>
      <c r="I93" s="109"/>
      <c r="J93" s="84">
        <v>12189.046872246696</v>
      </c>
      <c r="K93" s="109"/>
      <c r="L93" s="84">
        <f>AVERAGE(F93,H93,J93)</f>
        <v>12189.875121332943</v>
      </c>
      <c r="M93" s="107"/>
      <c r="N93" s="80"/>
      <c r="O93" s="107"/>
      <c r="P93" s="80"/>
      <c r="Q93" s="107"/>
      <c r="R93" s="80"/>
      <c r="S93" s="107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</row>
  </sheetData>
  <printOptions headings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B1">
      <selection activeCell="C6" sqref="C6"/>
    </sheetView>
  </sheetViews>
  <sheetFormatPr defaultColWidth="9.140625" defaultRowHeight="12.75"/>
  <cols>
    <col min="1" max="1" width="6.421875" style="0" hidden="1" customWidth="1"/>
    <col min="2" max="2" width="24.140625" style="0" customWidth="1"/>
    <col min="3" max="3" width="5.7109375" style="0" customWidth="1"/>
    <col min="4" max="6" width="11.421875" style="0" customWidth="1"/>
  </cols>
  <sheetData>
    <row r="1" spans="2:5" ht="12.75">
      <c r="B1" s="11" t="s">
        <v>263</v>
      </c>
      <c r="C1" s="20"/>
      <c r="D1" s="20"/>
      <c r="E1" s="20"/>
    </row>
    <row r="2" spans="2:5" ht="12.75">
      <c r="B2" s="20"/>
      <c r="C2" s="20"/>
      <c r="D2" s="20"/>
      <c r="E2" s="20"/>
    </row>
    <row r="3" spans="1:7" ht="12.75">
      <c r="A3" t="s">
        <v>97</v>
      </c>
      <c r="B3" s="11" t="s">
        <v>134</v>
      </c>
      <c r="C3" s="20"/>
      <c r="D3" s="58">
        <v>1</v>
      </c>
      <c r="E3" s="58">
        <v>2</v>
      </c>
      <c r="F3" s="66">
        <v>3</v>
      </c>
      <c r="G3" s="66" t="s">
        <v>140</v>
      </c>
    </row>
    <row r="4" spans="2:3" ht="12.75">
      <c r="B4" s="20"/>
      <c r="C4" s="20"/>
    </row>
    <row r="5" spans="2:7" ht="12.75">
      <c r="B5" s="20" t="s">
        <v>303</v>
      </c>
      <c r="C5" s="20" t="s">
        <v>158</v>
      </c>
      <c r="D5" s="95"/>
      <c r="E5" s="95">
        <v>3022</v>
      </c>
      <c r="F5" s="92">
        <v>3014</v>
      </c>
      <c r="G5" s="92">
        <f>AVERAGE(D5:F5)</f>
        <v>3018</v>
      </c>
    </row>
    <row r="6" spans="2:7" ht="12.75">
      <c r="B6" s="20" t="s">
        <v>304</v>
      </c>
      <c r="C6" s="20" t="s">
        <v>157</v>
      </c>
      <c r="D6" s="95">
        <v>130</v>
      </c>
      <c r="E6" s="95">
        <v>122</v>
      </c>
      <c r="F6" s="92">
        <v>118</v>
      </c>
      <c r="G6" s="92">
        <f>AVERAGE(D6:F6)</f>
        <v>123.33333333333333</v>
      </c>
    </row>
    <row r="7" spans="2:7" ht="12.75">
      <c r="B7" s="20"/>
      <c r="C7" s="20"/>
      <c r="D7" s="95"/>
      <c r="E7" s="95"/>
      <c r="F7" s="92"/>
      <c r="G7" s="92"/>
    </row>
    <row r="8" spans="1:7" ht="12.75">
      <c r="A8" t="s">
        <v>97</v>
      </c>
      <c r="B8" s="11" t="s">
        <v>133</v>
      </c>
      <c r="C8" s="20"/>
      <c r="D8" s="103">
        <v>4</v>
      </c>
      <c r="E8" s="103">
        <v>5</v>
      </c>
      <c r="F8" s="104">
        <v>6</v>
      </c>
      <c r="G8" s="104" t="s">
        <v>140</v>
      </c>
    </row>
    <row r="9" spans="2:3" ht="12.75">
      <c r="B9" s="20"/>
      <c r="C9" s="20"/>
    </row>
    <row r="10" spans="2:7" ht="12.75">
      <c r="B10" s="20" t="s">
        <v>305</v>
      </c>
      <c r="C10" s="20" t="s">
        <v>158</v>
      </c>
      <c r="D10" s="92">
        <v>2344</v>
      </c>
      <c r="E10" s="92">
        <v>2395</v>
      </c>
      <c r="F10" s="92">
        <v>2308</v>
      </c>
      <c r="G10" s="92">
        <f>AVERAGE(D10:F10)</f>
        <v>2349</v>
      </c>
    </row>
    <row r="11" spans="2:7" ht="12.75">
      <c r="B11" s="20" t="s">
        <v>306</v>
      </c>
      <c r="C11" s="20" t="s">
        <v>158</v>
      </c>
      <c r="D11" s="92">
        <v>483</v>
      </c>
      <c r="E11" s="92">
        <v>477</v>
      </c>
      <c r="F11" s="92">
        <v>501</v>
      </c>
      <c r="G11" s="92">
        <f>AVERAGE(D11:F11)</f>
        <v>487</v>
      </c>
    </row>
    <row r="12" spans="2:7" ht="12.75">
      <c r="B12" t="s">
        <v>307</v>
      </c>
      <c r="C12" t="s">
        <v>158</v>
      </c>
      <c r="D12" s="92">
        <v>499</v>
      </c>
      <c r="E12" s="92">
        <v>490</v>
      </c>
      <c r="F12" s="92">
        <v>514</v>
      </c>
      <c r="G12" s="92">
        <f>AVERAGE(D12:F12)</f>
        <v>501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C1">
      <selection activeCell="C6" sqref="C6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7109375" style="0" customWidth="1"/>
    <col min="4" max="4" width="5.28125" style="0" customWidth="1"/>
  </cols>
  <sheetData>
    <row r="1" ht="12.75">
      <c r="C1" s="11" t="s">
        <v>262</v>
      </c>
    </row>
    <row r="2" spans="5:7" ht="12.75">
      <c r="E2" s="66" t="s">
        <v>188</v>
      </c>
      <c r="F2" s="66" t="s">
        <v>189</v>
      </c>
      <c r="G2" s="66" t="s">
        <v>190</v>
      </c>
    </row>
    <row r="3" ht="12.75">
      <c r="C3" s="24" t="s">
        <v>162</v>
      </c>
    </row>
    <row r="5" spans="1:31" s="82" customFormat="1" ht="12.75">
      <c r="A5" s="82" t="s">
        <v>162</v>
      </c>
      <c r="B5" s="82" t="s">
        <v>257</v>
      </c>
      <c r="C5" s="82" t="s">
        <v>258</v>
      </c>
      <c r="E5" s="101">
        <v>2731</v>
      </c>
      <c r="F5" s="101">
        <v>2770</v>
      </c>
      <c r="G5" s="101">
        <v>2791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22" s="82" customFormat="1" ht="12.75">
      <c r="A6" s="82" t="s">
        <v>162</v>
      </c>
      <c r="B6" s="82" t="s">
        <v>257</v>
      </c>
      <c r="C6" s="82" t="s">
        <v>260</v>
      </c>
      <c r="D6" s="82" t="s">
        <v>158</v>
      </c>
      <c r="E6" s="101">
        <v>355</v>
      </c>
      <c r="F6" s="101">
        <v>422</v>
      </c>
      <c r="G6" s="101">
        <v>373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3" s="82" customFormat="1" ht="12.75">
      <c r="A7" s="82" t="s">
        <v>162</v>
      </c>
      <c r="B7" s="82" t="s">
        <v>257</v>
      </c>
      <c r="C7" s="82" t="s">
        <v>156</v>
      </c>
      <c r="D7" s="82" t="s">
        <v>259</v>
      </c>
      <c r="E7" s="101">
        <v>140</v>
      </c>
      <c r="F7" s="101">
        <v>142</v>
      </c>
      <c r="G7" s="101">
        <v>141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5:23" s="82" customFormat="1" ht="12.75">
      <c r="E8" s="101"/>
      <c r="F8" s="101"/>
      <c r="G8" s="101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3:23" s="82" customFormat="1" ht="12.75">
      <c r="C9" s="24" t="s">
        <v>172</v>
      </c>
      <c r="E9" s="101"/>
      <c r="F9" s="101"/>
      <c r="G9" s="101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5:23" s="82" customFormat="1" ht="12.75">
      <c r="E10" s="101"/>
      <c r="F10" s="101"/>
      <c r="G10" s="101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31" s="82" customFormat="1" ht="12.75">
      <c r="A11" s="82" t="s">
        <v>172</v>
      </c>
      <c r="B11" s="82" t="s">
        <v>257</v>
      </c>
      <c r="C11" s="82" t="s">
        <v>258</v>
      </c>
      <c r="D11" s="82" t="s">
        <v>158</v>
      </c>
      <c r="E11" s="101">
        <v>2448</v>
      </c>
      <c r="F11" s="101">
        <v>2441</v>
      </c>
      <c r="G11" s="101">
        <v>2418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5:31" s="82" customFormat="1" ht="12.75">
      <c r="E12" s="101"/>
      <c r="F12" s="101"/>
      <c r="G12" s="101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3:31" s="82" customFormat="1" ht="12.75">
      <c r="C13" s="24" t="s">
        <v>180</v>
      </c>
      <c r="E13" s="101"/>
      <c r="F13" s="101"/>
      <c r="G13" s="101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5:31" s="82" customFormat="1" ht="12.75">
      <c r="E14" s="101"/>
      <c r="F14" s="101"/>
      <c r="G14" s="101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s="82" customFormat="1" ht="12.75">
      <c r="A15" s="82" t="s">
        <v>180</v>
      </c>
      <c r="B15" s="82" t="s">
        <v>257</v>
      </c>
      <c r="C15" s="82" t="s">
        <v>258</v>
      </c>
      <c r="D15" s="82" t="s">
        <v>158</v>
      </c>
      <c r="E15" s="101">
        <v>2718</v>
      </c>
      <c r="F15" s="101">
        <v>2728</v>
      </c>
      <c r="G15" s="101">
        <v>2672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22" s="82" customFormat="1" ht="12.75">
      <c r="A16" s="82" t="s">
        <v>180</v>
      </c>
      <c r="B16" s="82" t="s">
        <v>257</v>
      </c>
      <c r="C16" s="82" t="s">
        <v>260</v>
      </c>
      <c r="D16" s="82" t="s">
        <v>158</v>
      </c>
      <c r="E16" s="101">
        <v>489</v>
      </c>
      <c r="F16" s="101">
        <v>481</v>
      </c>
      <c r="G16" s="101">
        <v>483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5:22" s="82" customFormat="1" ht="12.75">
      <c r="E17" s="101"/>
      <c r="F17" s="101"/>
      <c r="G17" s="101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3:22" s="82" customFormat="1" ht="12.75">
      <c r="C18" s="24" t="s">
        <v>185</v>
      </c>
      <c r="E18" s="101"/>
      <c r="F18" s="101"/>
      <c r="G18" s="101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5:22" s="82" customFormat="1" ht="12.75">
      <c r="E19" s="101"/>
      <c r="F19" s="101"/>
      <c r="G19" s="101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31" s="82" customFormat="1" ht="12.75">
      <c r="A20" s="82" t="s">
        <v>185</v>
      </c>
      <c r="B20" s="82" t="s">
        <v>257</v>
      </c>
      <c r="C20" s="82" t="s">
        <v>258</v>
      </c>
      <c r="D20" s="82" t="s">
        <v>158</v>
      </c>
      <c r="E20" s="101">
        <v>2318</v>
      </c>
      <c r="F20" s="101">
        <v>2595</v>
      </c>
      <c r="G20" s="101">
        <v>2545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2004-02-24T20:33:55Z</cp:lastPrinted>
  <dcterms:created xsi:type="dcterms:W3CDTF">2000-01-10T00:44:42Z</dcterms:created>
  <dcterms:modified xsi:type="dcterms:W3CDTF">2004-02-24T20:47:22Z</dcterms:modified>
  <cp:category/>
  <cp:version/>
  <cp:contentType/>
  <cp:contentStatus/>
</cp:coreProperties>
</file>