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  <sheet name="df c3" sheetId="9" r:id="rId9"/>
    <sheet name="df c4" sheetId="10" r:id="rId10"/>
  </sheets>
  <definedNames/>
  <calcPr fullCalcOnLoad="1"/>
</workbook>
</file>

<file path=xl/sharedStrings.xml><?xml version="1.0" encoding="utf-8"?>
<sst xmlns="http://schemas.openxmlformats.org/spreadsheetml/2006/main" count="1397" uniqueCount="245">
  <si>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</si>
  <si>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</si>
  <si>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</si>
  <si>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</si>
  <si>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</si>
  <si>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</si>
  <si>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</si>
  <si>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</si>
  <si>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</si>
  <si>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</si>
  <si>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</si>
  <si>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</si>
  <si>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</si>
  <si>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</si>
  <si>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</si>
  <si>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</si>
  <si>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</si>
  <si>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</si>
  <si>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</si>
  <si>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</si>
  <si>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</si>
  <si>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</si>
  <si>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</si>
  <si>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</si>
  <si>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</si>
  <si>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</si>
  <si>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</si>
  <si>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</si>
  <si>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</si>
  <si>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</si>
  <si>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</si>
  <si>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</si>
  <si>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</si>
  <si>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</si>
  <si>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</si>
  <si>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</si>
  <si>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</si>
  <si>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</si>
  <si>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</si>
  <si>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</si>
  <si>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</si>
  <si>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</si>
  <si>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</si>
  <si>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</si>
  <si>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</si>
  <si>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</si>
  <si>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</si>
  <si>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</si>
  <si>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</si>
  <si>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</si>
  <si>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</si>
  <si>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</si>
  <si>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</si>
  <si>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Feedrate Calculations</t>
  </si>
  <si>
    <t>Feedstream Description</t>
  </si>
  <si>
    <t>Heating Value</t>
  </si>
  <si>
    <t>Btu/lb</t>
  </si>
  <si>
    <t>Ash</t>
  </si>
  <si>
    <t>Chlorine</t>
  </si>
  <si>
    <t>Viscosity</t>
  </si>
  <si>
    <t>cps</t>
  </si>
  <si>
    <t>HCl</t>
  </si>
  <si>
    <t>Cl2</t>
  </si>
  <si>
    <t>DRE</t>
  </si>
  <si>
    <t>lb/hr</t>
  </si>
  <si>
    <t>Density</t>
  </si>
  <si>
    <t>Detected in sample volume (pg)</t>
  </si>
  <si>
    <t>PCDD/PCDF (pg in sample)</t>
  </si>
  <si>
    <t>Run 1</t>
  </si>
  <si>
    <t>Run 2</t>
  </si>
  <si>
    <t>Run 3</t>
  </si>
  <si>
    <t>None</t>
  </si>
  <si>
    <r>
      <t>o</t>
    </r>
    <r>
      <rPr>
        <sz val="10"/>
        <rFont val="Arial"/>
        <family val="2"/>
      </rPr>
      <t>F</t>
    </r>
  </si>
  <si>
    <t>pH</t>
  </si>
  <si>
    <t>gpm</t>
  </si>
  <si>
    <t>MMBtu/hr</t>
  </si>
  <si>
    <t>Spike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</si>
  <si>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</si>
  <si>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</si>
  <si>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</si>
  <si>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</si>
  <si>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</si>
  <si>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</si>
  <si>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</si>
  <si>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</si>
  <si>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Estimated Firing Rate</t>
  </si>
  <si>
    <t>mg/dscm</t>
  </si>
  <si>
    <t>Stack Gas Emissions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</si>
  <si>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</si>
  <si>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</si>
  <si>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</si>
  <si>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</si>
  <si>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</si>
  <si>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</si>
  <si>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</si>
  <si>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</si>
  <si>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</si>
  <si>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 xml:space="preserve">    Testing Dates</t>
  </si>
  <si>
    <t>Capacity (MMBtu/hr)</t>
  </si>
  <si>
    <t>n</t>
  </si>
  <si>
    <t xml:space="preserve">    Gas Velocity (ft/sec)</t>
  </si>
  <si>
    <t xml:space="preserve">    Gas Temperature (°F)</t>
  </si>
  <si>
    <t>Feedrate MTEC Calculations</t>
  </si>
  <si>
    <t>Phase II ID No.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</si>
  <si>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</si>
  <si>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</si>
  <si>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</si>
  <si>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</si>
  <si>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</si>
  <si>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</si>
  <si>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</si>
  <si>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</si>
  <si>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</si>
  <si>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</si>
  <si>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</si>
  <si>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</si>
  <si>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</si>
  <si>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</si>
  <si>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</si>
  <si>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</si>
  <si>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</si>
  <si>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</si>
  <si>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</si>
  <si>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Cr+6</t>
  </si>
  <si>
    <t>POHC Feedrate</t>
  </si>
  <si>
    <t xml:space="preserve">   O2</t>
  </si>
  <si>
    <t xml:space="preserve">   Moisture</t>
  </si>
  <si>
    <t>Total Chlorine</t>
  </si>
  <si>
    <t>Sampling Train</t>
  </si>
  <si>
    <t>Trial burn</t>
  </si>
  <si>
    <t>Risk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</si>
  <si>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</si>
  <si>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</si>
  <si>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</si>
  <si>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</si>
  <si>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</si>
  <si>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</si>
  <si>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</si>
  <si>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</si>
  <si>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</si>
  <si>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</si>
  <si>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</si>
  <si>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</si>
  <si>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LAD008086506</t>
  </si>
  <si>
    <t>PPG Industries, Inc.</t>
  </si>
  <si>
    <t>Lake Charles</t>
  </si>
  <si>
    <t>LA</t>
  </si>
  <si>
    <t>ENSR Corporation</t>
  </si>
  <si>
    <t>ENSR International</t>
  </si>
  <si>
    <t>Emissions Rate</t>
  </si>
  <si>
    <t>MCB</t>
  </si>
  <si>
    <t>PERC</t>
  </si>
  <si>
    <t>NOx</t>
  </si>
  <si>
    <t>DRE, NOx, THC</t>
  </si>
  <si>
    <t>PCDD/Fs</t>
  </si>
  <si>
    <t>PPG Industries, Lake Charles, LA</t>
  </si>
  <si>
    <t>Metals</t>
  </si>
  <si>
    <t>Risk burn, normal operating condition in feeding non PCB containing materials.</t>
  </si>
  <si>
    <t>PCDD/Fs, NOx</t>
  </si>
  <si>
    <t>% wt</t>
  </si>
  <si>
    <t>mg/kg</t>
  </si>
  <si>
    <t>scfh</t>
  </si>
  <si>
    <t>Run1</t>
  </si>
  <si>
    <t>Run3</t>
  </si>
  <si>
    <t>Air Flow</t>
  </si>
  <si>
    <t>Secondary Scrubber Flow</t>
  </si>
  <si>
    <t>Secondary Scrubber pH</t>
  </si>
  <si>
    <t>Secondary Scrubber Blowdown</t>
  </si>
  <si>
    <t>PCDD/F, metals</t>
  </si>
  <si>
    <t>Natural gas</t>
  </si>
  <si>
    <t>Trial burn, min comb temp</t>
  </si>
  <si>
    <t>Risk burn, normal op cond, PCB containing material</t>
  </si>
  <si>
    <t>Liq waste</t>
  </si>
  <si>
    <t>Light and heavy ends from chlorinated hydrocarbon production</t>
  </si>
  <si>
    <t>Tier IA for all metals (metals stack gas measurements made for information purposes only), Tier III HCl/Cl2</t>
  </si>
  <si>
    <t>CO (RA)</t>
  </si>
  <si>
    <t>CO (MHRA)</t>
  </si>
  <si>
    <t xml:space="preserve">CO (RA) </t>
  </si>
  <si>
    <t>Chromium</t>
  </si>
  <si>
    <t>Nat Gas</t>
  </si>
  <si>
    <t>Vent Gas</t>
  </si>
  <si>
    <t>Combustion Chamber Temp.</t>
  </si>
  <si>
    <t>lb/c ?</t>
  </si>
  <si>
    <t>Btu/cf</t>
  </si>
  <si>
    <t>Unit No. 3</t>
  </si>
  <si>
    <t>John Zink side fired combustor capable of burning liquid hazardous waste, vent gases and auxiliary fuel. Also, designed to provide waste heat recovery as steam and acid recovery.</t>
  </si>
  <si>
    <t>Normal comb temp</t>
  </si>
  <si>
    <t>Trial burn, increased PCB feed rate</t>
  </si>
  <si>
    <t>2022C1</t>
  </si>
  <si>
    <t>2022C2</t>
  </si>
  <si>
    <t>2022C3</t>
  </si>
  <si>
    <t>2022C4</t>
  </si>
  <si>
    <t>May 17-18, 2001</t>
  </si>
  <si>
    <t xml:space="preserve">2022C2 </t>
  </si>
  <si>
    <t>May 20-21, 2001</t>
  </si>
  <si>
    <t>Trial Burn Report for Incinerator Unit 1 and 2 and Number 3 HAF Unit, October 2001</t>
  </si>
  <si>
    <t>Risk Burn Report for Incinerator Unit 1 and 2 and Number 3 HAF Unit, October 2001</t>
  </si>
  <si>
    <t>DRE, NOx</t>
  </si>
  <si>
    <t>POHC, PCDD/F, PM, HCl/Cl2</t>
  </si>
  <si>
    <t>POHC, PM, HCl/Cl2, PCDD/F, metals</t>
  </si>
  <si>
    <t>Waste heat boiler, 2 stages of scrubber, primary (3 packed beds), secondary</t>
  </si>
  <si>
    <t>had waste feedcutoff during run 2 due to high CO</t>
  </si>
  <si>
    <t xml:space="preserve">    Cond Dates</t>
  </si>
  <si>
    <t>HCl Production Furnace</t>
  </si>
  <si>
    <t>Cond Description</t>
  </si>
  <si>
    <t>E1</t>
  </si>
  <si>
    <t>E2</t>
  </si>
  <si>
    <t>E3</t>
  </si>
  <si>
    <t>E4</t>
  </si>
  <si>
    <t>Chromium (Hex)</t>
  </si>
  <si>
    <t>Number of Sister Facilities</t>
  </si>
  <si>
    <t>Combustor Class</t>
  </si>
  <si>
    <t>Combustor Type</t>
  </si>
  <si>
    <t>APCS Detailed Acronym</t>
  </si>
  <si>
    <t>APCS General Class</t>
  </si>
  <si>
    <t>WHB, LEWS</t>
  </si>
  <si>
    <t>Liq</t>
  </si>
  <si>
    <t>source</t>
  </si>
  <si>
    <t>cond</t>
  </si>
  <si>
    <t>emiss</t>
  </si>
  <si>
    <t>feed</t>
  </si>
  <si>
    <t>process</t>
  </si>
  <si>
    <t>WHB, WS</t>
  </si>
  <si>
    <t>R1</t>
  </si>
  <si>
    <t>R2</t>
  </si>
  <si>
    <t>R3</t>
  </si>
  <si>
    <t>Cond Avg</t>
  </si>
  <si>
    <t>Feedstream Number</t>
  </si>
  <si>
    <t>Feed Class</t>
  </si>
  <si>
    <t>F1</t>
  </si>
  <si>
    <t>F2</t>
  </si>
  <si>
    <t>F3</t>
  </si>
  <si>
    <t>F4</t>
  </si>
  <si>
    <t>F5</t>
  </si>
  <si>
    <t>Liq HW</t>
  </si>
  <si>
    <t>NG</t>
  </si>
  <si>
    <t>Misc. Fuel</t>
  </si>
  <si>
    <t>Feed Class 2</t>
  </si>
  <si>
    <t>Full ND</t>
  </si>
  <si>
    <t>df c1</t>
  </si>
  <si>
    <t>df c2</t>
  </si>
  <si>
    <t>df c3</t>
  </si>
  <si>
    <t>df c4</t>
  </si>
  <si>
    <t>N</t>
  </si>
  <si>
    <t>MF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</si>
</sst>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E+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7" fontId="0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217</v>
      </c>
    </row>
    <row r="2" ht="12.75">
      <c r="A2" t="s">
        <v>218</v>
      </c>
    </row>
    <row r="3" ht="12.75">
      <c r="A3" t="s">
        <v>219</v>
      </c>
    </row>
    <row r="4" ht="12.75">
      <c r="A4" t="s">
        <v>220</v>
      </c>
    </row>
    <row r="5" ht="12.75">
      <c r="A5" t="s">
        <v>221</v>
      </c>
    </row>
    <row r="6" ht="12.75">
      <c r="A6" t="s">
        <v>239</v>
      </c>
    </row>
    <row r="7" ht="12.75">
      <c r="A7" t="s">
        <v>240</v>
      </c>
    </row>
    <row r="8" ht="12.75">
      <c r="A8" t="s">
        <v>241</v>
      </c>
    </row>
    <row r="9" ht="12.75">
      <c r="A9" t="s">
        <v>242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36" sqref="B3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5.140625" style="0" customWidth="1"/>
    <col min="5" max="5" width="9.421875" style="5" customWidth="1"/>
    <col min="6" max="6" width="9.8515625" style="5" customWidth="1"/>
    <col min="7" max="7" width="10.7109375" style="5" customWidth="1"/>
    <col min="8" max="8" width="9.8515625" style="5" customWidth="1"/>
    <col min="9" max="9" width="3.421875" style="0" customWidth="1"/>
    <col min="11" max="11" width="9.28125" style="0" customWidth="1"/>
    <col min="13" max="13" width="9.28125" style="0" customWidth="1"/>
    <col min="14" max="14" width="5.57421875" style="0" customWidth="1"/>
    <col min="16" max="16" width="10.140625" style="0" customWidth="1"/>
    <col min="18" max="18" width="10.140625" style="0" customWidth="1"/>
  </cols>
  <sheetData>
    <row r="1" spans="1:18" ht="12.75">
      <c r="A1" s="56" t="s">
        <v>93</v>
      </c>
      <c r="B1" s="40"/>
      <c r="C1" s="40"/>
      <c r="D1" s="40"/>
      <c r="E1" s="43"/>
      <c r="F1" s="43"/>
      <c r="G1" s="43"/>
      <c r="H1" s="43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0" t="s">
        <v>243</v>
      </c>
      <c r="B2" s="40"/>
      <c r="C2" s="40"/>
      <c r="D2" s="40"/>
      <c r="E2" s="43"/>
      <c r="F2" s="43"/>
      <c r="G2" s="43"/>
      <c r="H2" s="43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0" t="s">
        <v>25</v>
      </c>
      <c r="B3" s="40"/>
      <c r="C3" s="13" t="s">
        <v>155</v>
      </c>
      <c r="D3" s="13"/>
      <c r="E3" s="43"/>
      <c r="F3" s="43"/>
      <c r="G3" s="43"/>
      <c r="H3" s="43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0" t="s">
        <v>26</v>
      </c>
      <c r="B4" s="40"/>
      <c r="C4" s="13" t="s">
        <v>191</v>
      </c>
      <c r="D4" s="13"/>
      <c r="E4" s="62"/>
      <c r="F4" s="16"/>
      <c r="G4" s="62"/>
      <c r="H4" s="16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40" t="s">
        <v>27</v>
      </c>
      <c r="B5" s="40"/>
      <c r="C5" s="18" t="s">
        <v>157</v>
      </c>
      <c r="D5" s="18"/>
      <c r="E5" s="47"/>
      <c r="F5" s="47"/>
      <c r="G5" s="47"/>
      <c r="H5" s="47"/>
      <c r="I5" s="18"/>
      <c r="J5" s="18"/>
      <c r="K5" s="48"/>
      <c r="L5" s="18"/>
      <c r="M5" s="48"/>
      <c r="N5" s="48"/>
      <c r="O5" s="48"/>
      <c r="P5" s="48"/>
      <c r="Q5" s="48"/>
      <c r="R5" s="48"/>
    </row>
    <row r="6" spans="1:18" ht="12.75">
      <c r="A6" s="40"/>
      <c r="B6" s="40"/>
      <c r="C6" s="42"/>
      <c r="D6" s="42"/>
      <c r="E6" s="16"/>
      <c r="F6" s="43"/>
      <c r="G6" s="16"/>
      <c r="H6" s="43"/>
      <c r="I6" s="48"/>
      <c r="J6" s="52"/>
      <c r="K6" s="48"/>
      <c r="L6" s="52"/>
      <c r="M6" s="48"/>
      <c r="N6" s="48"/>
      <c r="O6" s="52"/>
      <c r="P6" s="48"/>
      <c r="Q6" s="52"/>
      <c r="R6" s="48"/>
    </row>
    <row r="7" spans="1:18" s="71" customFormat="1" ht="12.75">
      <c r="A7" s="40"/>
      <c r="B7" s="40"/>
      <c r="C7" s="42" t="s">
        <v>28</v>
      </c>
      <c r="D7" s="42"/>
      <c r="E7" s="63" t="s">
        <v>68</v>
      </c>
      <c r="F7" s="63"/>
      <c r="G7" s="63"/>
      <c r="H7" s="63"/>
      <c r="I7" s="17"/>
      <c r="J7" s="53" t="s">
        <v>69</v>
      </c>
      <c r="K7" s="53"/>
      <c r="L7" s="53"/>
      <c r="M7" s="53"/>
      <c r="N7" s="17"/>
      <c r="O7" s="53" t="s">
        <v>70</v>
      </c>
      <c r="P7" s="53"/>
      <c r="Q7" s="53"/>
      <c r="R7" s="53"/>
    </row>
    <row r="8" spans="1:18" s="71" customFormat="1" ht="12.75">
      <c r="A8" s="40"/>
      <c r="B8" s="40"/>
      <c r="C8" s="42" t="s">
        <v>29</v>
      </c>
      <c r="D8" s="40"/>
      <c r="E8" s="16" t="s">
        <v>30</v>
      </c>
      <c r="F8" s="16" t="s">
        <v>31</v>
      </c>
      <c r="G8" s="16" t="s">
        <v>30</v>
      </c>
      <c r="H8" s="16" t="s">
        <v>31</v>
      </c>
      <c r="I8" s="48"/>
      <c r="J8" s="52" t="s">
        <v>30</v>
      </c>
      <c r="K8" s="52" t="s">
        <v>32</v>
      </c>
      <c r="L8" s="52" t="s">
        <v>30</v>
      </c>
      <c r="M8" s="52" t="s">
        <v>32</v>
      </c>
      <c r="N8" s="48"/>
      <c r="O8" s="52" t="s">
        <v>30</v>
      </c>
      <c r="P8" s="52" t="s">
        <v>32</v>
      </c>
      <c r="Q8" s="52" t="s">
        <v>30</v>
      </c>
      <c r="R8" s="52" t="s">
        <v>32</v>
      </c>
    </row>
    <row r="9" spans="1:18" s="71" customFormat="1" ht="12.75">
      <c r="A9" s="40"/>
      <c r="B9" s="40"/>
      <c r="C9" s="42"/>
      <c r="D9" s="40"/>
      <c r="E9" s="52" t="s">
        <v>238</v>
      </c>
      <c r="F9" s="52" t="s">
        <v>238</v>
      </c>
      <c r="G9" s="16" t="s">
        <v>92</v>
      </c>
      <c r="H9" s="16" t="s">
        <v>92</v>
      </c>
      <c r="I9" s="48"/>
      <c r="J9" s="52" t="s">
        <v>238</v>
      </c>
      <c r="K9" s="52" t="s">
        <v>238</v>
      </c>
      <c r="L9" s="52" t="s">
        <v>92</v>
      </c>
      <c r="M9" s="51" t="s">
        <v>92</v>
      </c>
      <c r="N9" s="48"/>
      <c r="O9" s="52" t="s">
        <v>238</v>
      </c>
      <c r="P9" s="52" t="s">
        <v>238</v>
      </c>
      <c r="Q9" s="52" t="s">
        <v>92</v>
      </c>
      <c r="R9" s="51" t="s">
        <v>92</v>
      </c>
    </row>
    <row r="10" spans="1:18" ht="12.75">
      <c r="A10" s="40" t="s">
        <v>66</v>
      </c>
      <c r="B10" s="40"/>
      <c r="C10" s="40"/>
      <c r="D10" s="40"/>
      <c r="E10" s="43"/>
      <c r="F10" s="43"/>
      <c r="G10" s="43"/>
      <c r="H10" s="43"/>
      <c r="I10" s="48"/>
      <c r="J10" s="48"/>
      <c r="K10" s="48"/>
      <c r="L10" s="48"/>
      <c r="M10" s="48"/>
      <c r="N10" s="48"/>
      <c r="O10" s="43"/>
      <c r="P10" s="48"/>
      <c r="Q10" s="48"/>
      <c r="R10" s="48"/>
    </row>
    <row r="11" spans="1:18" ht="12.75">
      <c r="A11" s="40"/>
      <c r="B11" s="40" t="s">
        <v>33</v>
      </c>
      <c r="C11" s="42">
        <v>1</v>
      </c>
      <c r="D11" s="42" t="s">
        <v>34</v>
      </c>
      <c r="E11" s="43">
        <v>2.8</v>
      </c>
      <c r="F11" s="43">
        <f>IF(E11="","",E11*$C11)</f>
        <v>2.8</v>
      </c>
      <c r="G11" s="43">
        <f>IF(E11=0,"",IF(D11="nd",E11/2,E11))</f>
        <v>1.4</v>
      </c>
      <c r="H11" s="43">
        <f>IF(G11="","",G11*$C11)</f>
        <v>1.4</v>
      </c>
      <c r="I11" s="49" t="s">
        <v>34</v>
      </c>
      <c r="J11" s="18">
        <v>1.6</v>
      </c>
      <c r="K11" s="43">
        <f>IF(J11="","",J11*$C11)</f>
        <v>1.6</v>
      </c>
      <c r="L11" s="43">
        <f>IF(J11=0,"",IF(I11="nd",J11/2,J11))</f>
        <v>0.8</v>
      </c>
      <c r="M11" s="43">
        <f>IF(L11="","",L11*$C11)</f>
        <v>0.8</v>
      </c>
      <c r="N11" s="49" t="s">
        <v>34</v>
      </c>
      <c r="O11" s="54">
        <v>2.4</v>
      </c>
      <c r="P11" s="43">
        <f>IF(O11="","",O11*$C11)</f>
        <v>2.4</v>
      </c>
      <c r="Q11" s="43">
        <f>IF(O11=0,"",IF(N11="nd",O11/2,O11))</f>
        <v>1.2</v>
      </c>
      <c r="R11" s="43">
        <f>IF(Q11="","",Q11*$C11)</f>
        <v>1.2</v>
      </c>
    </row>
    <row r="12" spans="1:18" ht="12.75">
      <c r="A12" s="40"/>
      <c r="B12" s="40" t="s">
        <v>135</v>
      </c>
      <c r="C12" s="42">
        <v>0</v>
      </c>
      <c r="D12" s="42" t="s">
        <v>34</v>
      </c>
      <c r="E12" s="43">
        <v>2.8</v>
      </c>
      <c r="F12" s="43">
        <f aca="true" t="shared" si="0" ref="F12:H35">IF(E12="","",E12*$C12)</f>
        <v>0</v>
      </c>
      <c r="G12" s="43">
        <f aca="true" t="shared" si="1" ref="G12:G35">IF(E12=0,"",IF(D12="nd",E12/2,E12))</f>
        <v>1.4</v>
      </c>
      <c r="H12" s="43">
        <f t="shared" si="0"/>
        <v>0</v>
      </c>
      <c r="I12" s="49"/>
      <c r="J12" s="33">
        <v>1.6</v>
      </c>
      <c r="K12" s="43">
        <f aca="true" t="shared" si="2" ref="K12:M35">IF(J12="","",J12*$C12)</f>
        <v>0</v>
      </c>
      <c r="L12" s="43">
        <f aca="true" t="shared" si="3" ref="L12:L35">IF(J12=0,"",IF(I12="nd",J12/2,J12))</f>
        <v>1.6</v>
      </c>
      <c r="M12" s="43">
        <f t="shared" si="2"/>
        <v>0</v>
      </c>
      <c r="N12" s="49"/>
      <c r="O12" s="54">
        <v>1.3</v>
      </c>
      <c r="P12" s="43">
        <f aca="true" t="shared" si="4" ref="P12:R35">IF(O12="","",O12*$C12)</f>
        <v>0</v>
      </c>
      <c r="Q12" s="43">
        <f aca="true" t="shared" si="5" ref="Q12:Q35">IF(O12=0,"",IF(N12="nd",O12/2,O12))</f>
        <v>1.3</v>
      </c>
      <c r="R12" s="43">
        <f t="shared" si="4"/>
        <v>0</v>
      </c>
    </row>
    <row r="13" spans="1:18" ht="12.75">
      <c r="A13" s="40"/>
      <c r="B13" s="40" t="s">
        <v>35</v>
      </c>
      <c r="C13" s="42">
        <v>0.5</v>
      </c>
      <c r="D13" s="42" t="s">
        <v>34</v>
      </c>
      <c r="E13" s="43">
        <v>5.9</v>
      </c>
      <c r="F13" s="43">
        <f t="shared" si="0"/>
        <v>2.95</v>
      </c>
      <c r="G13" s="43">
        <f t="shared" si="1"/>
        <v>2.95</v>
      </c>
      <c r="H13" s="43">
        <f t="shared" si="0"/>
        <v>1.475</v>
      </c>
      <c r="I13" s="49" t="s">
        <v>34</v>
      </c>
      <c r="J13" s="18">
        <v>7</v>
      </c>
      <c r="K13" s="43">
        <f t="shared" si="2"/>
        <v>3.5</v>
      </c>
      <c r="L13" s="43">
        <f t="shared" si="3"/>
        <v>3.5</v>
      </c>
      <c r="M13" s="43">
        <f t="shared" si="2"/>
        <v>1.75</v>
      </c>
      <c r="N13" s="49" t="s">
        <v>34</v>
      </c>
      <c r="O13" s="55">
        <v>6.6</v>
      </c>
      <c r="P13" s="43">
        <f t="shared" si="4"/>
        <v>3.3</v>
      </c>
      <c r="Q13" s="43">
        <f t="shared" si="5"/>
        <v>3.3</v>
      </c>
      <c r="R13" s="43">
        <f t="shared" si="4"/>
        <v>1.65</v>
      </c>
    </row>
    <row r="14" spans="1:18" ht="12.75">
      <c r="A14" s="40"/>
      <c r="B14" s="40" t="s">
        <v>136</v>
      </c>
      <c r="C14" s="42">
        <v>0</v>
      </c>
      <c r="D14" s="42" t="s">
        <v>34</v>
      </c>
      <c r="E14" s="43">
        <v>5.9</v>
      </c>
      <c r="F14" s="43">
        <f t="shared" si="0"/>
        <v>0</v>
      </c>
      <c r="G14" s="43">
        <f t="shared" si="1"/>
        <v>2.95</v>
      </c>
      <c r="H14" s="43">
        <f t="shared" si="0"/>
        <v>0</v>
      </c>
      <c r="I14" s="49" t="s">
        <v>34</v>
      </c>
      <c r="J14" s="18">
        <v>9</v>
      </c>
      <c r="K14" s="43">
        <f t="shared" si="2"/>
        <v>0</v>
      </c>
      <c r="L14" s="43">
        <f t="shared" si="3"/>
        <v>4.5</v>
      </c>
      <c r="M14" s="43">
        <f t="shared" si="2"/>
        <v>0</v>
      </c>
      <c r="N14" s="49"/>
      <c r="O14" s="55">
        <v>4.2</v>
      </c>
      <c r="P14" s="43">
        <f t="shared" si="4"/>
        <v>0</v>
      </c>
      <c r="Q14" s="43">
        <f t="shared" si="5"/>
        <v>4.2</v>
      </c>
      <c r="R14" s="43">
        <f t="shared" si="4"/>
        <v>0</v>
      </c>
    </row>
    <row r="15" spans="1:18" ht="12.75">
      <c r="A15" s="40"/>
      <c r="B15" s="40" t="s">
        <v>36</v>
      </c>
      <c r="C15" s="42">
        <v>0.1</v>
      </c>
      <c r="D15" s="42" t="s">
        <v>34</v>
      </c>
      <c r="E15" s="43">
        <v>10.2</v>
      </c>
      <c r="F15" s="43">
        <f t="shared" si="0"/>
        <v>1.02</v>
      </c>
      <c r="G15" s="43">
        <f t="shared" si="1"/>
        <v>5.1</v>
      </c>
      <c r="H15" s="43">
        <f t="shared" si="0"/>
        <v>0.51</v>
      </c>
      <c r="I15" s="49" t="s">
        <v>34</v>
      </c>
      <c r="J15" s="18">
        <v>9.4</v>
      </c>
      <c r="K15" s="43">
        <f t="shared" si="2"/>
        <v>0.9400000000000001</v>
      </c>
      <c r="L15" s="43">
        <f t="shared" si="3"/>
        <v>4.7</v>
      </c>
      <c r="M15" s="43">
        <f t="shared" si="2"/>
        <v>0.47000000000000003</v>
      </c>
      <c r="N15" s="49" t="s">
        <v>34</v>
      </c>
      <c r="O15" s="55">
        <v>13.8</v>
      </c>
      <c r="P15" s="43">
        <f t="shared" si="4"/>
        <v>1.3800000000000001</v>
      </c>
      <c r="Q15" s="43">
        <f t="shared" si="5"/>
        <v>6.9</v>
      </c>
      <c r="R15" s="43">
        <f t="shared" si="4"/>
        <v>0.6900000000000001</v>
      </c>
    </row>
    <row r="16" spans="1:18" ht="12.75">
      <c r="A16" s="40"/>
      <c r="B16" s="40" t="s">
        <v>37</v>
      </c>
      <c r="C16" s="42">
        <v>0.1</v>
      </c>
      <c r="D16" s="42" t="s">
        <v>34</v>
      </c>
      <c r="E16" s="43">
        <v>10.2</v>
      </c>
      <c r="F16" s="43">
        <f t="shared" si="0"/>
        <v>1.02</v>
      </c>
      <c r="G16" s="43">
        <f t="shared" si="1"/>
        <v>5.1</v>
      </c>
      <c r="H16" s="43">
        <f t="shared" si="0"/>
        <v>0.51</v>
      </c>
      <c r="I16" s="49" t="s">
        <v>34</v>
      </c>
      <c r="J16" s="18">
        <v>9.4</v>
      </c>
      <c r="K16" s="43">
        <f t="shared" si="2"/>
        <v>0.9400000000000001</v>
      </c>
      <c r="L16" s="43">
        <f t="shared" si="3"/>
        <v>4.7</v>
      </c>
      <c r="M16" s="43">
        <f t="shared" si="2"/>
        <v>0.47000000000000003</v>
      </c>
      <c r="N16" s="49" t="s">
        <v>34</v>
      </c>
      <c r="O16" s="55">
        <v>13.8</v>
      </c>
      <c r="P16" s="43">
        <f t="shared" si="4"/>
        <v>1.3800000000000001</v>
      </c>
      <c r="Q16" s="43">
        <f t="shared" si="5"/>
        <v>6.9</v>
      </c>
      <c r="R16" s="43">
        <f t="shared" si="4"/>
        <v>0.6900000000000001</v>
      </c>
    </row>
    <row r="17" spans="1:18" ht="12.75">
      <c r="A17" s="40"/>
      <c r="B17" s="40" t="s">
        <v>38</v>
      </c>
      <c r="C17" s="42">
        <v>0.1</v>
      </c>
      <c r="D17" s="42" t="s">
        <v>34</v>
      </c>
      <c r="E17" s="43">
        <v>9.5</v>
      </c>
      <c r="F17" s="43">
        <f t="shared" si="0"/>
        <v>0.9500000000000001</v>
      </c>
      <c r="G17" s="43">
        <f t="shared" si="1"/>
        <v>4.75</v>
      </c>
      <c r="H17" s="43">
        <f t="shared" si="0"/>
        <v>0.47500000000000003</v>
      </c>
      <c r="I17" s="49" t="s">
        <v>34</v>
      </c>
      <c r="J17" s="18">
        <v>8.8</v>
      </c>
      <c r="K17" s="43">
        <f t="shared" si="2"/>
        <v>0.8800000000000001</v>
      </c>
      <c r="L17" s="43">
        <f t="shared" si="3"/>
        <v>4.4</v>
      </c>
      <c r="M17" s="43">
        <f t="shared" si="2"/>
        <v>0.44000000000000006</v>
      </c>
      <c r="N17" s="49" t="s">
        <v>34</v>
      </c>
      <c r="O17" s="55">
        <v>12.9</v>
      </c>
      <c r="P17" s="43">
        <f t="shared" si="4"/>
        <v>1.29</v>
      </c>
      <c r="Q17" s="43">
        <f t="shared" si="5"/>
        <v>6.45</v>
      </c>
      <c r="R17" s="43">
        <f t="shared" si="4"/>
        <v>0.645</v>
      </c>
    </row>
    <row r="18" spans="1:18" ht="12.75">
      <c r="A18" s="40"/>
      <c r="B18" s="40" t="s">
        <v>137</v>
      </c>
      <c r="C18" s="42">
        <v>0</v>
      </c>
      <c r="D18" s="42" t="s">
        <v>34</v>
      </c>
      <c r="E18" s="43">
        <v>13.2</v>
      </c>
      <c r="F18" s="43">
        <f t="shared" si="0"/>
        <v>0</v>
      </c>
      <c r="G18" s="43">
        <f t="shared" si="1"/>
        <v>6.6</v>
      </c>
      <c r="H18" s="43">
        <f t="shared" si="0"/>
        <v>0</v>
      </c>
      <c r="I18" s="49" t="s">
        <v>34</v>
      </c>
      <c r="J18" s="18">
        <v>56.8</v>
      </c>
      <c r="K18" s="43">
        <f t="shared" si="2"/>
        <v>0</v>
      </c>
      <c r="L18" s="43">
        <f t="shared" si="3"/>
        <v>28.4</v>
      </c>
      <c r="M18" s="43">
        <f t="shared" si="2"/>
        <v>0</v>
      </c>
      <c r="N18" s="49" t="s">
        <v>34</v>
      </c>
      <c r="O18" s="55">
        <v>32.5</v>
      </c>
      <c r="P18" s="43">
        <f t="shared" si="4"/>
        <v>0</v>
      </c>
      <c r="Q18" s="43">
        <f t="shared" si="5"/>
        <v>16.25</v>
      </c>
      <c r="R18" s="43">
        <f t="shared" si="4"/>
        <v>0</v>
      </c>
    </row>
    <row r="19" spans="1:18" ht="12.75">
      <c r="A19" s="40"/>
      <c r="B19" s="40" t="s">
        <v>39</v>
      </c>
      <c r="C19" s="42">
        <v>0.01</v>
      </c>
      <c r="D19" s="42"/>
      <c r="E19" s="43">
        <v>40.4</v>
      </c>
      <c r="F19" s="43">
        <f t="shared" si="0"/>
        <v>0.40399999999999997</v>
      </c>
      <c r="G19" s="43">
        <f t="shared" si="1"/>
        <v>40.4</v>
      </c>
      <c r="H19" s="43">
        <f t="shared" si="0"/>
        <v>0.40399999999999997</v>
      </c>
      <c r="I19" s="49"/>
      <c r="J19" s="18">
        <v>77.4</v>
      </c>
      <c r="K19" s="43">
        <f t="shared" si="2"/>
        <v>0.774</v>
      </c>
      <c r="L19" s="43">
        <f t="shared" si="3"/>
        <v>77.4</v>
      </c>
      <c r="M19" s="43">
        <f t="shared" si="2"/>
        <v>0.774</v>
      </c>
      <c r="N19" s="49"/>
      <c r="O19" s="55">
        <v>47.4</v>
      </c>
      <c r="P19" s="43">
        <f t="shared" si="4"/>
        <v>0.474</v>
      </c>
      <c r="Q19" s="43">
        <f t="shared" si="5"/>
        <v>47.4</v>
      </c>
      <c r="R19" s="43">
        <f t="shared" si="4"/>
        <v>0.474</v>
      </c>
    </row>
    <row r="20" spans="1:18" ht="12.75">
      <c r="A20" s="40"/>
      <c r="B20" s="40" t="s">
        <v>138</v>
      </c>
      <c r="C20" s="42">
        <v>0</v>
      </c>
      <c r="D20" s="42"/>
      <c r="E20" s="43">
        <v>66.1</v>
      </c>
      <c r="F20" s="43">
        <f t="shared" si="0"/>
        <v>0</v>
      </c>
      <c r="G20" s="43">
        <f t="shared" si="1"/>
        <v>66.1</v>
      </c>
      <c r="H20" s="43">
        <f t="shared" si="0"/>
        <v>0</v>
      </c>
      <c r="I20" s="49"/>
      <c r="J20" s="18">
        <v>121</v>
      </c>
      <c r="K20" s="43">
        <f t="shared" si="2"/>
        <v>0</v>
      </c>
      <c r="L20" s="43">
        <f t="shared" si="3"/>
        <v>121</v>
      </c>
      <c r="M20" s="43">
        <f t="shared" si="2"/>
        <v>0</v>
      </c>
      <c r="N20" s="49"/>
      <c r="O20" s="55">
        <v>72.8</v>
      </c>
      <c r="P20" s="43">
        <f t="shared" si="4"/>
        <v>0</v>
      </c>
      <c r="Q20" s="43">
        <f t="shared" si="5"/>
        <v>72.8</v>
      </c>
      <c r="R20" s="43">
        <f t="shared" si="4"/>
        <v>0</v>
      </c>
    </row>
    <row r="21" spans="1:18" ht="12.75">
      <c r="A21" s="40"/>
      <c r="B21" s="40" t="s">
        <v>40</v>
      </c>
      <c r="C21" s="42">
        <v>0.001</v>
      </c>
      <c r="D21" s="42"/>
      <c r="E21" s="43">
        <v>249</v>
      </c>
      <c r="F21" s="43">
        <f t="shared" si="0"/>
        <v>0.249</v>
      </c>
      <c r="G21" s="43">
        <f t="shared" si="1"/>
        <v>249</v>
      </c>
      <c r="H21" s="43">
        <f t="shared" si="0"/>
        <v>0.249</v>
      </c>
      <c r="I21" s="49"/>
      <c r="J21" s="18">
        <v>479</v>
      </c>
      <c r="K21" s="43">
        <f t="shared" si="2"/>
        <v>0.47900000000000004</v>
      </c>
      <c r="L21" s="43">
        <f t="shared" si="3"/>
        <v>479</v>
      </c>
      <c r="M21" s="43">
        <f t="shared" si="2"/>
        <v>0.47900000000000004</v>
      </c>
      <c r="N21" s="49"/>
      <c r="O21" s="55">
        <v>295</v>
      </c>
      <c r="P21" s="43">
        <f t="shared" si="4"/>
        <v>0.295</v>
      </c>
      <c r="Q21" s="43">
        <f t="shared" si="5"/>
        <v>295</v>
      </c>
      <c r="R21" s="43">
        <f t="shared" si="4"/>
        <v>0.295</v>
      </c>
    </row>
    <row r="22" spans="1:18" ht="12.75">
      <c r="A22" s="40"/>
      <c r="B22" s="40" t="s">
        <v>41</v>
      </c>
      <c r="C22" s="42">
        <v>0.1</v>
      </c>
      <c r="D22" s="42"/>
      <c r="E22" s="43">
        <v>55</v>
      </c>
      <c r="F22" s="43">
        <f t="shared" si="0"/>
        <v>5.5</v>
      </c>
      <c r="G22" s="43">
        <f t="shared" si="1"/>
        <v>55</v>
      </c>
      <c r="H22" s="43">
        <f t="shared" si="0"/>
        <v>5.5</v>
      </c>
      <c r="I22" s="49"/>
      <c r="J22" s="18">
        <v>101</v>
      </c>
      <c r="K22" s="43">
        <f t="shared" si="2"/>
        <v>10.100000000000001</v>
      </c>
      <c r="L22" s="43">
        <f t="shared" si="3"/>
        <v>101</v>
      </c>
      <c r="M22" s="43">
        <f t="shared" si="2"/>
        <v>10.100000000000001</v>
      </c>
      <c r="N22" s="49"/>
      <c r="O22" s="55">
        <v>58</v>
      </c>
      <c r="P22" s="43">
        <f t="shared" si="4"/>
        <v>5.800000000000001</v>
      </c>
      <c r="Q22" s="43">
        <f t="shared" si="5"/>
        <v>58</v>
      </c>
      <c r="R22" s="43">
        <f t="shared" si="4"/>
        <v>5.800000000000001</v>
      </c>
    </row>
    <row r="23" spans="1:18" ht="12.75">
      <c r="A23" s="40"/>
      <c r="B23" s="40" t="s">
        <v>139</v>
      </c>
      <c r="C23" s="42">
        <v>0</v>
      </c>
      <c r="D23" s="42"/>
      <c r="E23" s="43">
        <v>280</v>
      </c>
      <c r="F23" s="43">
        <f t="shared" si="0"/>
        <v>0</v>
      </c>
      <c r="G23" s="43">
        <f t="shared" si="1"/>
        <v>280</v>
      </c>
      <c r="H23" s="43">
        <f t="shared" si="0"/>
        <v>0</v>
      </c>
      <c r="I23" s="49"/>
      <c r="J23" s="18">
        <v>463</v>
      </c>
      <c r="K23" s="43">
        <f t="shared" si="2"/>
        <v>0</v>
      </c>
      <c r="L23" s="43">
        <f t="shared" si="3"/>
        <v>463</v>
      </c>
      <c r="M23" s="43">
        <f t="shared" si="2"/>
        <v>0</v>
      </c>
      <c r="N23" s="49"/>
      <c r="O23" s="55">
        <v>310</v>
      </c>
      <c r="P23" s="43">
        <f t="shared" si="4"/>
        <v>0</v>
      </c>
      <c r="Q23" s="43">
        <f t="shared" si="5"/>
        <v>310</v>
      </c>
      <c r="R23" s="43">
        <f t="shared" si="4"/>
        <v>0</v>
      </c>
    </row>
    <row r="24" spans="1:18" ht="12.75">
      <c r="A24" s="40"/>
      <c r="B24" s="40" t="s">
        <v>42</v>
      </c>
      <c r="C24" s="42">
        <v>0.05</v>
      </c>
      <c r="D24" s="42"/>
      <c r="E24" s="43">
        <v>34</v>
      </c>
      <c r="F24" s="43">
        <f t="shared" si="0"/>
        <v>1.7000000000000002</v>
      </c>
      <c r="G24" s="43">
        <f t="shared" si="1"/>
        <v>34</v>
      </c>
      <c r="H24" s="43">
        <f t="shared" si="0"/>
        <v>1.7000000000000002</v>
      </c>
      <c r="I24" s="49"/>
      <c r="J24" s="18">
        <v>77</v>
      </c>
      <c r="K24" s="43">
        <f t="shared" si="2"/>
        <v>3.85</v>
      </c>
      <c r="L24" s="43">
        <f t="shared" si="3"/>
        <v>77</v>
      </c>
      <c r="M24" s="43">
        <f t="shared" si="2"/>
        <v>3.85</v>
      </c>
      <c r="N24" s="49"/>
      <c r="O24" s="55">
        <v>54</v>
      </c>
      <c r="P24" s="43">
        <f t="shared" si="4"/>
        <v>2.7</v>
      </c>
      <c r="Q24" s="43">
        <f t="shared" si="5"/>
        <v>54</v>
      </c>
      <c r="R24" s="43">
        <f t="shared" si="4"/>
        <v>2.7</v>
      </c>
    </row>
    <row r="25" spans="1:18" ht="12.75">
      <c r="A25" s="40"/>
      <c r="B25" s="40" t="s">
        <v>43</v>
      </c>
      <c r="C25" s="42">
        <v>0.5</v>
      </c>
      <c r="D25" s="42"/>
      <c r="E25" s="43">
        <v>27</v>
      </c>
      <c r="F25" s="43">
        <f t="shared" si="0"/>
        <v>13.5</v>
      </c>
      <c r="G25" s="43">
        <f t="shared" si="1"/>
        <v>27</v>
      </c>
      <c r="H25" s="43">
        <f t="shared" si="0"/>
        <v>13.5</v>
      </c>
      <c r="I25" s="49"/>
      <c r="J25" s="18">
        <v>51</v>
      </c>
      <c r="K25" s="43">
        <f t="shared" si="2"/>
        <v>25.5</v>
      </c>
      <c r="L25" s="43">
        <f t="shared" si="3"/>
        <v>51</v>
      </c>
      <c r="M25" s="43">
        <f t="shared" si="2"/>
        <v>25.5</v>
      </c>
      <c r="N25" s="49"/>
      <c r="O25" s="55">
        <v>31</v>
      </c>
      <c r="P25" s="43">
        <f t="shared" si="4"/>
        <v>15.5</v>
      </c>
      <c r="Q25" s="43">
        <f t="shared" si="5"/>
        <v>31</v>
      </c>
      <c r="R25" s="43">
        <f t="shared" si="4"/>
        <v>15.5</v>
      </c>
    </row>
    <row r="26" spans="1:18" ht="12.75">
      <c r="A26" s="40"/>
      <c r="B26" s="40" t="s">
        <v>140</v>
      </c>
      <c r="C26" s="42">
        <v>0</v>
      </c>
      <c r="D26" s="42"/>
      <c r="E26" s="43">
        <v>288</v>
      </c>
      <c r="F26" s="43">
        <f t="shared" si="0"/>
        <v>0</v>
      </c>
      <c r="G26" s="43">
        <f t="shared" si="1"/>
        <v>288</v>
      </c>
      <c r="H26" s="43">
        <f t="shared" si="0"/>
        <v>0</v>
      </c>
      <c r="I26" s="49"/>
      <c r="J26" s="18">
        <v>556</v>
      </c>
      <c r="K26" s="43">
        <f t="shared" si="2"/>
        <v>0</v>
      </c>
      <c r="L26" s="43">
        <f t="shared" si="3"/>
        <v>556</v>
      </c>
      <c r="M26" s="43">
        <f t="shared" si="2"/>
        <v>0</v>
      </c>
      <c r="N26" s="49"/>
      <c r="O26" s="55">
        <v>346</v>
      </c>
      <c r="P26" s="43">
        <f t="shared" si="4"/>
        <v>0</v>
      </c>
      <c r="Q26" s="43">
        <f t="shared" si="5"/>
        <v>346</v>
      </c>
      <c r="R26" s="43">
        <f t="shared" si="4"/>
        <v>0</v>
      </c>
    </row>
    <row r="27" spans="1:18" ht="12.75">
      <c r="A27" s="40"/>
      <c r="B27" s="40" t="s">
        <v>44</v>
      </c>
      <c r="C27" s="42">
        <v>0.1</v>
      </c>
      <c r="D27" s="42"/>
      <c r="E27" s="43">
        <v>222</v>
      </c>
      <c r="F27" s="43">
        <f t="shared" si="0"/>
        <v>22.200000000000003</v>
      </c>
      <c r="G27" s="43">
        <f t="shared" si="1"/>
        <v>222</v>
      </c>
      <c r="H27" s="43">
        <f t="shared" si="0"/>
        <v>22.200000000000003</v>
      </c>
      <c r="I27" s="49"/>
      <c r="J27" s="18">
        <v>449</v>
      </c>
      <c r="K27" s="43">
        <f t="shared" si="2"/>
        <v>44.900000000000006</v>
      </c>
      <c r="L27" s="43">
        <f t="shared" si="3"/>
        <v>449</v>
      </c>
      <c r="M27" s="43">
        <f t="shared" si="2"/>
        <v>44.900000000000006</v>
      </c>
      <c r="N27" s="49"/>
      <c r="O27" s="55">
        <v>288</v>
      </c>
      <c r="P27" s="43">
        <f t="shared" si="4"/>
        <v>28.8</v>
      </c>
      <c r="Q27" s="43">
        <f t="shared" si="5"/>
        <v>288</v>
      </c>
      <c r="R27" s="43">
        <f t="shared" si="4"/>
        <v>28.8</v>
      </c>
    </row>
    <row r="28" spans="1:18" ht="12.75">
      <c r="A28" s="40"/>
      <c r="B28" s="40" t="s">
        <v>45</v>
      </c>
      <c r="C28" s="42">
        <v>0.1</v>
      </c>
      <c r="D28" s="42"/>
      <c r="E28" s="43">
        <v>66</v>
      </c>
      <c r="F28" s="43">
        <f t="shared" si="0"/>
        <v>6.6000000000000005</v>
      </c>
      <c r="G28" s="43">
        <f t="shared" si="1"/>
        <v>66</v>
      </c>
      <c r="H28" s="43">
        <f t="shared" si="0"/>
        <v>6.6000000000000005</v>
      </c>
      <c r="I28" s="49"/>
      <c r="J28" s="18">
        <v>142</v>
      </c>
      <c r="K28" s="43">
        <f t="shared" si="2"/>
        <v>14.200000000000001</v>
      </c>
      <c r="L28" s="43">
        <f t="shared" si="3"/>
        <v>142</v>
      </c>
      <c r="M28" s="43">
        <f t="shared" si="2"/>
        <v>14.200000000000001</v>
      </c>
      <c r="N28" s="49"/>
      <c r="O28" s="55">
        <v>84</v>
      </c>
      <c r="P28" s="43">
        <f t="shared" si="4"/>
        <v>8.4</v>
      </c>
      <c r="Q28" s="43">
        <f t="shared" si="5"/>
        <v>84</v>
      </c>
      <c r="R28" s="43">
        <f t="shared" si="4"/>
        <v>8.4</v>
      </c>
    </row>
    <row r="29" spans="1:18" ht="12.75">
      <c r="A29" s="40"/>
      <c r="B29" s="40" t="s">
        <v>46</v>
      </c>
      <c r="C29" s="42">
        <v>0.1</v>
      </c>
      <c r="D29" s="42"/>
      <c r="E29" s="43">
        <v>33</v>
      </c>
      <c r="F29" s="43">
        <f t="shared" si="0"/>
        <v>3.3000000000000003</v>
      </c>
      <c r="G29" s="43">
        <f t="shared" si="1"/>
        <v>33</v>
      </c>
      <c r="H29" s="43">
        <f t="shared" si="0"/>
        <v>3.3000000000000003</v>
      </c>
      <c r="I29" s="49"/>
      <c r="J29" s="18">
        <v>61</v>
      </c>
      <c r="K29" s="43">
        <f t="shared" si="2"/>
        <v>6.1000000000000005</v>
      </c>
      <c r="L29" s="43">
        <f t="shared" si="3"/>
        <v>61</v>
      </c>
      <c r="M29" s="43">
        <f t="shared" si="2"/>
        <v>6.1000000000000005</v>
      </c>
      <c r="N29" s="49"/>
      <c r="O29" s="55">
        <v>39</v>
      </c>
      <c r="P29" s="43">
        <f t="shared" si="4"/>
        <v>3.9000000000000004</v>
      </c>
      <c r="Q29" s="43">
        <f t="shared" si="5"/>
        <v>39</v>
      </c>
      <c r="R29" s="43">
        <f t="shared" si="4"/>
        <v>3.9000000000000004</v>
      </c>
    </row>
    <row r="30" spans="1:18" ht="12.75">
      <c r="A30" s="40"/>
      <c r="B30" s="40" t="s">
        <v>47</v>
      </c>
      <c r="C30" s="42">
        <v>0.1</v>
      </c>
      <c r="D30" s="42"/>
      <c r="E30" s="43">
        <v>38</v>
      </c>
      <c r="F30" s="43">
        <f t="shared" si="0"/>
        <v>3.8000000000000003</v>
      </c>
      <c r="G30" s="43">
        <f t="shared" si="1"/>
        <v>38</v>
      </c>
      <c r="H30" s="43">
        <f t="shared" si="0"/>
        <v>3.8000000000000003</v>
      </c>
      <c r="I30" s="49"/>
      <c r="J30" s="18">
        <v>65</v>
      </c>
      <c r="K30" s="43">
        <f t="shared" si="2"/>
        <v>6.5</v>
      </c>
      <c r="L30" s="43">
        <f t="shared" si="3"/>
        <v>65</v>
      </c>
      <c r="M30" s="43">
        <f t="shared" si="2"/>
        <v>6.5</v>
      </c>
      <c r="N30" s="49"/>
      <c r="O30" s="55">
        <v>41</v>
      </c>
      <c r="P30" s="43">
        <f t="shared" si="4"/>
        <v>4.1000000000000005</v>
      </c>
      <c r="Q30" s="43">
        <f t="shared" si="5"/>
        <v>41</v>
      </c>
      <c r="R30" s="43">
        <f t="shared" si="4"/>
        <v>4.1000000000000005</v>
      </c>
    </row>
    <row r="31" spans="1:18" ht="12.75">
      <c r="A31" s="40"/>
      <c r="B31" s="40" t="s">
        <v>141</v>
      </c>
      <c r="C31" s="42">
        <v>0</v>
      </c>
      <c r="D31" s="42"/>
      <c r="E31" s="43">
        <v>693</v>
      </c>
      <c r="F31" s="43">
        <f t="shared" si="0"/>
        <v>0</v>
      </c>
      <c r="G31" s="43">
        <f t="shared" si="1"/>
        <v>693</v>
      </c>
      <c r="H31" s="43">
        <f t="shared" si="0"/>
        <v>0</v>
      </c>
      <c r="I31" s="49"/>
      <c r="J31" s="18">
        <v>1396</v>
      </c>
      <c r="K31" s="43">
        <f t="shared" si="2"/>
        <v>0</v>
      </c>
      <c r="L31" s="43">
        <f t="shared" si="3"/>
        <v>1396</v>
      </c>
      <c r="M31" s="43">
        <f t="shared" si="2"/>
        <v>0</v>
      </c>
      <c r="N31" s="49"/>
      <c r="O31" s="55">
        <v>853</v>
      </c>
      <c r="P31" s="43">
        <f t="shared" si="4"/>
        <v>0</v>
      </c>
      <c r="Q31" s="43">
        <f t="shared" si="5"/>
        <v>853</v>
      </c>
      <c r="R31" s="43">
        <f t="shared" si="4"/>
        <v>0</v>
      </c>
    </row>
    <row r="32" spans="1:18" ht="12.75">
      <c r="A32" s="40"/>
      <c r="B32" s="40" t="s">
        <v>48</v>
      </c>
      <c r="C32" s="42">
        <v>0.01</v>
      </c>
      <c r="D32" s="42"/>
      <c r="E32" s="43">
        <v>824</v>
      </c>
      <c r="F32" s="43">
        <f t="shared" si="0"/>
        <v>8.24</v>
      </c>
      <c r="G32" s="43">
        <f t="shared" si="1"/>
        <v>824</v>
      </c>
      <c r="H32" s="43">
        <f t="shared" si="0"/>
        <v>8.24</v>
      </c>
      <c r="I32" s="49"/>
      <c r="J32" s="18">
        <v>1736</v>
      </c>
      <c r="K32" s="43">
        <f t="shared" si="2"/>
        <v>17.36</v>
      </c>
      <c r="L32" s="43">
        <f t="shared" si="3"/>
        <v>1736</v>
      </c>
      <c r="M32" s="43">
        <f t="shared" si="2"/>
        <v>17.36</v>
      </c>
      <c r="N32" s="49"/>
      <c r="O32" s="55">
        <v>1019</v>
      </c>
      <c r="P32" s="43">
        <f t="shared" si="4"/>
        <v>10.19</v>
      </c>
      <c r="Q32" s="43">
        <f t="shared" si="5"/>
        <v>1019</v>
      </c>
      <c r="R32" s="43">
        <f t="shared" si="4"/>
        <v>10.19</v>
      </c>
    </row>
    <row r="33" spans="1:18" ht="12.75">
      <c r="A33" s="40"/>
      <c r="B33" s="40" t="s">
        <v>49</v>
      </c>
      <c r="C33" s="42">
        <v>0.01</v>
      </c>
      <c r="D33" s="42"/>
      <c r="E33" s="43">
        <v>243</v>
      </c>
      <c r="F33" s="43">
        <f t="shared" si="0"/>
        <v>2.43</v>
      </c>
      <c r="G33" s="43">
        <f t="shared" si="1"/>
        <v>243</v>
      </c>
      <c r="H33" s="43">
        <f t="shared" si="0"/>
        <v>2.43</v>
      </c>
      <c r="I33" s="49"/>
      <c r="J33" s="18">
        <v>554</v>
      </c>
      <c r="K33" s="43">
        <f t="shared" si="2"/>
        <v>5.54</v>
      </c>
      <c r="L33" s="43">
        <f t="shared" si="3"/>
        <v>554</v>
      </c>
      <c r="M33" s="43">
        <f t="shared" si="2"/>
        <v>5.54</v>
      </c>
      <c r="N33" s="49"/>
      <c r="O33" s="55">
        <v>324</v>
      </c>
      <c r="P33" s="43">
        <f t="shared" si="4"/>
        <v>3.24</v>
      </c>
      <c r="Q33" s="43">
        <f t="shared" si="5"/>
        <v>324</v>
      </c>
      <c r="R33" s="43">
        <f t="shared" si="4"/>
        <v>3.24</v>
      </c>
    </row>
    <row r="34" spans="1:18" ht="12.75">
      <c r="A34" s="40"/>
      <c r="B34" s="40" t="s">
        <v>142</v>
      </c>
      <c r="C34" s="42">
        <v>0</v>
      </c>
      <c r="D34" s="42"/>
      <c r="E34" s="43">
        <v>1671</v>
      </c>
      <c r="F34" s="43">
        <f t="shared" si="0"/>
        <v>0</v>
      </c>
      <c r="G34" s="43">
        <f t="shared" si="1"/>
        <v>1671</v>
      </c>
      <c r="H34" s="43">
        <f t="shared" si="0"/>
        <v>0</v>
      </c>
      <c r="I34" s="49"/>
      <c r="J34" s="18">
        <v>3510</v>
      </c>
      <c r="K34" s="43">
        <f t="shared" si="2"/>
        <v>0</v>
      </c>
      <c r="L34" s="43">
        <f t="shared" si="3"/>
        <v>3510</v>
      </c>
      <c r="M34" s="43">
        <f t="shared" si="2"/>
        <v>0</v>
      </c>
      <c r="N34" s="49"/>
      <c r="O34" s="55">
        <v>2056</v>
      </c>
      <c r="P34" s="43">
        <f t="shared" si="4"/>
        <v>0</v>
      </c>
      <c r="Q34" s="43">
        <f t="shared" si="5"/>
        <v>2056</v>
      </c>
      <c r="R34" s="43">
        <f t="shared" si="4"/>
        <v>0</v>
      </c>
    </row>
    <row r="35" spans="1:18" ht="12.75">
      <c r="A35" s="40"/>
      <c r="B35" s="40" t="s">
        <v>50</v>
      </c>
      <c r="C35" s="42">
        <v>0.001</v>
      </c>
      <c r="D35" s="42"/>
      <c r="E35" s="43">
        <v>9530</v>
      </c>
      <c r="F35" s="43">
        <f t="shared" si="0"/>
        <v>9.53</v>
      </c>
      <c r="G35" s="43">
        <f t="shared" si="1"/>
        <v>9530</v>
      </c>
      <c r="H35" s="43">
        <f t="shared" si="0"/>
        <v>9.53</v>
      </c>
      <c r="I35" s="49"/>
      <c r="J35" s="18">
        <v>16840</v>
      </c>
      <c r="K35" s="43">
        <f t="shared" si="2"/>
        <v>16.84</v>
      </c>
      <c r="L35" s="43">
        <f t="shared" si="3"/>
        <v>16840</v>
      </c>
      <c r="M35" s="43">
        <f t="shared" si="2"/>
        <v>16.84</v>
      </c>
      <c r="N35" s="49"/>
      <c r="O35" s="55">
        <v>11030</v>
      </c>
      <c r="P35" s="43">
        <f t="shared" si="4"/>
        <v>11.03</v>
      </c>
      <c r="Q35" s="43">
        <f t="shared" si="5"/>
        <v>11030</v>
      </c>
      <c r="R35" s="43">
        <f t="shared" si="4"/>
        <v>11.03</v>
      </c>
    </row>
    <row r="36" spans="1:18" ht="12.75">
      <c r="A36" s="40"/>
      <c r="B36" s="40"/>
      <c r="C36" s="40"/>
      <c r="D36" s="40"/>
      <c r="E36" s="43"/>
      <c r="F36" s="43"/>
      <c r="G36" s="43"/>
      <c r="H36" s="43"/>
      <c r="I36" s="46"/>
      <c r="J36" s="18"/>
      <c r="K36" s="43"/>
      <c r="L36" s="43"/>
      <c r="M36" s="43"/>
      <c r="N36" s="46"/>
      <c r="O36" s="18"/>
      <c r="P36" s="48"/>
      <c r="Q36" s="46"/>
      <c r="R36" s="48"/>
    </row>
    <row r="37" spans="1:18" ht="12.75">
      <c r="A37" s="40"/>
      <c r="B37" s="40" t="s">
        <v>51</v>
      </c>
      <c r="C37" s="40"/>
      <c r="D37" s="40"/>
      <c r="F37" s="46">
        <v>110.092</v>
      </c>
      <c r="G37" s="46">
        <v>110.092</v>
      </c>
      <c r="H37" s="46">
        <v>110.092</v>
      </c>
      <c r="I37" s="46"/>
      <c r="J37" s="46"/>
      <c r="K37" s="46">
        <v>113.875</v>
      </c>
      <c r="L37" s="46">
        <v>113.875</v>
      </c>
      <c r="M37" s="46">
        <v>113.875</v>
      </c>
      <c r="N37" s="46"/>
      <c r="O37" s="46"/>
      <c r="P37" s="46">
        <v>112.378</v>
      </c>
      <c r="Q37" s="46">
        <v>112.378</v>
      </c>
      <c r="R37" s="46">
        <v>112.378</v>
      </c>
    </row>
    <row r="38" spans="1:18" ht="12.75">
      <c r="A38" s="40"/>
      <c r="B38" s="40" t="s">
        <v>80</v>
      </c>
      <c r="C38" s="40"/>
      <c r="D38" s="40"/>
      <c r="F38" s="46">
        <v>8.54</v>
      </c>
      <c r="G38" s="46">
        <v>8.54</v>
      </c>
      <c r="H38" s="46">
        <v>8.54</v>
      </c>
      <c r="I38" s="46"/>
      <c r="J38" s="46"/>
      <c r="K38" s="43">
        <v>8.5</v>
      </c>
      <c r="L38" s="43">
        <v>8.5</v>
      </c>
      <c r="M38" s="43">
        <v>8.5</v>
      </c>
      <c r="N38" s="46"/>
      <c r="O38" s="46"/>
      <c r="P38" s="46">
        <v>8.43</v>
      </c>
      <c r="Q38" s="46">
        <v>8.43</v>
      </c>
      <c r="R38" s="46">
        <v>8.43</v>
      </c>
    </row>
    <row r="39" spans="1:18" ht="12.75">
      <c r="A39" s="40"/>
      <c r="B39" s="40"/>
      <c r="C39" s="40"/>
      <c r="D39" s="40"/>
      <c r="E39" s="43"/>
      <c r="F39" s="47"/>
      <c r="G39" s="43"/>
      <c r="H39" s="47"/>
      <c r="I39" s="18"/>
      <c r="J39" s="46"/>
      <c r="K39" s="47"/>
      <c r="L39" s="43"/>
      <c r="M39" s="47"/>
      <c r="N39" s="46"/>
      <c r="O39" s="46"/>
      <c r="P39" s="46"/>
      <c r="Q39" s="46"/>
      <c r="R39" s="46"/>
    </row>
    <row r="40" spans="1:18" ht="12.75">
      <c r="A40" s="40"/>
      <c r="B40" s="40" t="s">
        <v>67</v>
      </c>
      <c r="C40" s="49"/>
      <c r="D40" s="49"/>
      <c r="E40" s="43"/>
      <c r="F40" s="49">
        <f>SUM(F11:F35)</f>
        <v>86.19300000000001</v>
      </c>
      <c r="G40" s="43">
        <f>SUM(G35,G34,G31,G26,G23,G21,G20,G18,G14,G12)</f>
        <v>12788.050000000001</v>
      </c>
      <c r="H40" s="49">
        <f>SUM(H11:H35)</f>
        <v>81.82300000000001</v>
      </c>
      <c r="I40" s="49"/>
      <c r="J40" s="43"/>
      <c r="K40" s="49">
        <f>SUM(K11:K35)</f>
        <v>160.003</v>
      </c>
      <c r="L40" s="43">
        <f>SUM(L35,L34,L31,L26,L23,L21,L20,L18,L14,L12)</f>
        <v>23399.5</v>
      </c>
      <c r="M40" s="49">
        <f>SUM(M11:M35)</f>
        <v>156.073</v>
      </c>
      <c r="N40" s="49"/>
      <c r="O40" s="46"/>
      <c r="P40" s="43">
        <f>SUM(P11:P35)</f>
        <v>104.179</v>
      </c>
      <c r="Q40" s="43">
        <f>SUM(Q35,Q34,Q31,Q26,Q23,Q21,Q20,Q18,Q14,Q12)</f>
        <v>14984.55</v>
      </c>
      <c r="R40" s="43">
        <f>SUM(R11:R35)</f>
        <v>99.304</v>
      </c>
    </row>
    <row r="41" spans="1:18" ht="12.75">
      <c r="A41" s="40"/>
      <c r="B41" s="40" t="s">
        <v>52</v>
      </c>
      <c r="C41" s="49"/>
      <c r="D41" s="43">
        <f>(F41-H41)*2/F41*100</f>
        <v>10.14003457357325</v>
      </c>
      <c r="E41" s="43"/>
      <c r="F41" s="49">
        <f>F40/F37/0.0283*(21-7)/(21-F38)/1000</f>
        <v>0.03108420705886023</v>
      </c>
      <c r="G41" s="46">
        <f>(G40/G37/0.0283*(21-7)/(21-G38))/1000</f>
        <v>4.6118175963135934</v>
      </c>
      <c r="H41" s="49">
        <f>H40/H37/0.0283*(21-7)/(21-H38)/1000</f>
        <v>0.029508232387515466</v>
      </c>
      <c r="I41" s="43">
        <f>(K41-M41)*2/K41*100</f>
        <v>4.912407892351965</v>
      </c>
      <c r="J41" s="46"/>
      <c r="K41" s="49">
        <f>K40/K37/0.0283*(21-7)/(21-K38)/1000</f>
        <v>0.05560723780414486</v>
      </c>
      <c r="L41" s="46">
        <f>(L40/L37/0.0283*(21-7)/(21-L38))/1000</f>
        <v>8.132232276882856</v>
      </c>
      <c r="M41" s="49">
        <f>M40/M37/0.0283*(21-7)/(21-M38)/1000</f>
        <v>0.05424141063483999</v>
      </c>
      <c r="N41" s="43">
        <f>(P41-R41)*2/P41*100</f>
        <v>9.358891907198169</v>
      </c>
      <c r="O41" s="46"/>
      <c r="P41" s="49">
        <f>P40/P37/0.0283*(21-7)/(21-P38)/1000</f>
        <v>0.036484231957364735</v>
      </c>
      <c r="Q41" s="46">
        <f>(Q40/Q37/0.0283*(21-7)/(21-Q38))/1000</f>
        <v>5.247696733283384</v>
      </c>
      <c r="R41" s="49">
        <f>R40/R37/0.0283*(21-7)/(21-R38)/1000</f>
        <v>0.03477697204133413</v>
      </c>
    </row>
    <row r="42" spans="1:18" ht="12.75">
      <c r="A42" s="40"/>
      <c r="B42" s="40"/>
      <c r="C42" s="40"/>
      <c r="D42" s="40"/>
      <c r="E42" s="43"/>
      <c r="F42" s="43"/>
      <c r="G42" s="43"/>
      <c r="H42" s="43"/>
      <c r="I42" s="45"/>
      <c r="J42" s="45"/>
      <c r="K42" s="45"/>
      <c r="L42" s="45"/>
      <c r="M42" s="45"/>
      <c r="N42" s="45"/>
      <c r="O42" s="45"/>
      <c r="P42" s="48"/>
      <c r="Q42" s="45"/>
      <c r="R42" s="48"/>
    </row>
    <row r="43" spans="1:18" ht="12.75">
      <c r="A43" s="46"/>
      <c r="B43" s="40" t="s">
        <v>81</v>
      </c>
      <c r="C43" s="45">
        <f>AVERAGE(H41,M41,R41)</f>
        <v>0.039508871687896525</v>
      </c>
      <c r="D43" s="46"/>
      <c r="E43" s="43"/>
      <c r="F43" s="43"/>
      <c r="G43" s="43"/>
      <c r="H43" s="43"/>
      <c r="I43" s="46"/>
      <c r="J43" s="46"/>
      <c r="K43" s="46"/>
      <c r="L43" s="46"/>
      <c r="M43" s="46"/>
      <c r="N43" s="46"/>
      <c r="O43" s="46"/>
      <c r="P43" s="48"/>
      <c r="Q43" s="46"/>
      <c r="R43" s="48"/>
    </row>
    <row r="44" spans="1:18" ht="12.75">
      <c r="A44" s="40"/>
      <c r="B44" s="40" t="s">
        <v>82</v>
      </c>
      <c r="C44" s="46">
        <f>AVERAGE(G41,L41,Q41)</f>
        <v>5.997248868826611</v>
      </c>
      <c r="D44" s="40"/>
      <c r="E44" s="43"/>
      <c r="F44" s="43"/>
      <c r="G44" s="43"/>
      <c r="H44" s="43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1"/>
      <c r="B85" s="1"/>
      <c r="C85" s="1"/>
      <c r="D85" s="1"/>
      <c r="E85" s="3"/>
      <c r="G85" s="3"/>
      <c r="J85" s="6"/>
      <c r="K85" s="5"/>
      <c r="L85" s="3"/>
      <c r="M85" s="5"/>
      <c r="N85" s="6"/>
      <c r="O85" s="6"/>
      <c r="P85" s="6"/>
      <c r="Q85" s="6"/>
      <c r="R85" s="6"/>
    </row>
    <row r="86" spans="1:18" ht="12.75">
      <c r="A86" s="1"/>
      <c r="B86" s="1"/>
      <c r="C86" s="2"/>
      <c r="D86" s="2"/>
      <c r="E86" s="3"/>
      <c r="F86" s="3"/>
      <c r="G86" s="3"/>
      <c r="H86" s="3"/>
      <c r="I86" s="2"/>
      <c r="J86" s="3"/>
      <c r="K86" s="3"/>
      <c r="L86" s="3"/>
      <c r="M86" s="3"/>
      <c r="N86" s="2"/>
      <c r="O86" s="6"/>
      <c r="P86" s="2"/>
      <c r="Q86" s="2"/>
      <c r="R86" s="2"/>
    </row>
    <row r="87" spans="1:18" ht="12.75">
      <c r="A87" s="1"/>
      <c r="B87" s="1"/>
      <c r="C87" s="2"/>
      <c r="D87" s="2"/>
      <c r="E87" s="3"/>
      <c r="F87" s="3"/>
      <c r="G87" s="3"/>
      <c r="H87" s="3"/>
      <c r="I87" s="2"/>
      <c r="J87" s="6"/>
      <c r="K87" s="2"/>
      <c r="L87" s="3"/>
      <c r="M87" s="2"/>
      <c r="N87" s="2"/>
      <c r="O87" s="6"/>
      <c r="P87" s="4"/>
      <c r="Q87" s="4"/>
      <c r="R87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30">
      <selection activeCell="B35" sqref="A35:IV472"/>
    </sheetView>
  </sheetViews>
  <sheetFormatPr defaultColWidth="9.140625" defaultRowHeight="12.75"/>
  <cols>
    <col min="1" max="1" width="9.140625" style="18" hidden="1" customWidth="1"/>
    <col min="2" max="2" width="23.8515625" style="18" customWidth="1"/>
    <col min="3" max="3" width="58.421875" style="18" customWidth="1"/>
    <col min="4" max="16384" width="8.8515625" style="18" customWidth="1"/>
  </cols>
  <sheetData>
    <row r="1" ht="12.75">
      <c r="B1" s="7" t="s">
        <v>104</v>
      </c>
    </row>
    <row r="3" spans="2:3" ht="12.75">
      <c r="B3" s="18" t="s">
        <v>103</v>
      </c>
      <c r="C3" s="19">
        <v>2022</v>
      </c>
    </row>
    <row r="4" spans="2:3" ht="12.75">
      <c r="B4" s="18" t="s">
        <v>0</v>
      </c>
      <c r="C4" s="18" t="s">
        <v>143</v>
      </c>
    </row>
    <row r="5" spans="2:3" ht="12.75">
      <c r="B5" s="18" t="s">
        <v>1</v>
      </c>
      <c r="C5" s="18" t="s">
        <v>144</v>
      </c>
    </row>
    <row r="6" ht="12.75">
      <c r="B6" s="18" t="s">
        <v>2</v>
      </c>
    </row>
    <row r="7" spans="2:3" ht="12.75">
      <c r="B7" s="18" t="s">
        <v>3</v>
      </c>
      <c r="C7" s="18" t="s">
        <v>145</v>
      </c>
    </row>
    <row r="8" spans="2:3" ht="12.75">
      <c r="B8" s="18" t="s">
        <v>4</v>
      </c>
      <c r="C8" s="18" t="s">
        <v>146</v>
      </c>
    </row>
    <row r="9" spans="2:3" ht="12.75">
      <c r="B9" s="18" t="s">
        <v>5</v>
      </c>
      <c r="C9" s="18" t="s">
        <v>184</v>
      </c>
    </row>
    <row r="10" spans="2:3" ht="12.75">
      <c r="B10" s="18" t="s">
        <v>6</v>
      </c>
      <c r="C10" s="18" t="s">
        <v>71</v>
      </c>
    </row>
    <row r="11" spans="2:3" ht="12.75">
      <c r="B11" s="18" t="s">
        <v>210</v>
      </c>
      <c r="C11" s="19">
        <v>0</v>
      </c>
    </row>
    <row r="12" spans="2:3" ht="12.75">
      <c r="B12" s="18" t="s">
        <v>211</v>
      </c>
      <c r="C12" s="18" t="s">
        <v>203</v>
      </c>
    </row>
    <row r="13" ht="12.75">
      <c r="B13" s="18" t="s">
        <v>212</v>
      </c>
    </row>
    <row r="14" spans="2:3" s="57" customFormat="1" ht="38.25">
      <c r="B14" s="57" t="s">
        <v>89</v>
      </c>
      <c r="C14" s="57" t="s">
        <v>185</v>
      </c>
    </row>
    <row r="15" spans="2:3" s="57" customFormat="1" ht="12.75">
      <c r="B15" s="57" t="s">
        <v>98</v>
      </c>
      <c r="C15" s="58">
        <v>69</v>
      </c>
    </row>
    <row r="16" spans="2:3" s="57" customFormat="1" ht="12.75">
      <c r="B16" s="18" t="s">
        <v>105</v>
      </c>
      <c r="C16" s="18" t="s">
        <v>71</v>
      </c>
    </row>
    <row r="17" spans="2:3" s="57" customFormat="1" ht="12.75">
      <c r="B17" s="18" t="s">
        <v>213</v>
      </c>
      <c r="C17" s="57" t="s">
        <v>222</v>
      </c>
    </row>
    <row r="18" spans="2:3" s="57" customFormat="1" ht="12.75">
      <c r="B18" s="18" t="s">
        <v>214</v>
      </c>
      <c r="C18" s="57" t="s">
        <v>215</v>
      </c>
    </row>
    <row r="19" spans="2:3" ht="25.5">
      <c r="B19" s="57" t="s">
        <v>7</v>
      </c>
      <c r="C19" s="57" t="s">
        <v>200</v>
      </c>
    </row>
    <row r="20" spans="2:3" ht="12.75">
      <c r="B20" s="18" t="s">
        <v>94</v>
      </c>
      <c r="C20" s="18" t="s">
        <v>216</v>
      </c>
    </row>
    <row r="21" spans="2:3" ht="12.75">
      <c r="B21" s="18" t="s">
        <v>106</v>
      </c>
      <c r="C21" s="18" t="s">
        <v>173</v>
      </c>
    </row>
    <row r="22" spans="2:3" ht="12.75">
      <c r="B22" s="18" t="s">
        <v>95</v>
      </c>
      <c r="C22" s="18" t="s">
        <v>169</v>
      </c>
    </row>
    <row r="23" ht="12.75" customHeight="1"/>
    <row r="24" spans="2:3" ht="12.75">
      <c r="B24" s="18" t="s">
        <v>8</v>
      </c>
      <c r="C24" s="19"/>
    </row>
    <row r="25" spans="2:3" ht="12.75">
      <c r="B25" s="18" t="s">
        <v>9</v>
      </c>
      <c r="C25" s="19"/>
    </row>
    <row r="26" spans="2:3" ht="12.75">
      <c r="B26" s="18" t="s">
        <v>10</v>
      </c>
      <c r="C26" s="19"/>
    </row>
    <row r="27" spans="2:3" ht="12.75">
      <c r="B27" s="18" t="s">
        <v>100</v>
      </c>
      <c r="C27" s="20"/>
    </row>
    <row r="28" spans="2:3" ht="14.25" customHeight="1">
      <c r="B28" s="18" t="s">
        <v>101</v>
      </c>
      <c r="C28" s="19"/>
    </row>
    <row r="29" ht="12" customHeight="1"/>
    <row r="30" spans="2:3" ht="25.5">
      <c r="B30" s="66" t="s">
        <v>11</v>
      </c>
      <c r="C30" s="65" t="s">
        <v>174</v>
      </c>
    </row>
    <row r="31" s="65" customFormat="1" ht="25.5">
      <c r="B31" s="65" t="s">
        <v>134</v>
      </c>
    </row>
    <row r="32" ht="14.2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8" hidden="1" customWidth="1"/>
    <col min="2" max="2" width="20.57421875" style="18" customWidth="1"/>
    <col min="3" max="3" width="52.57421875" style="18" customWidth="1"/>
    <col min="4" max="16384" width="9.140625" style="18" customWidth="1"/>
  </cols>
  <sheetData>
    <row r="1" ht="12.75">
      <c r="B1" s="7" t="s">
        <v>204</v>
      </c>
    </row>
    <row r="3" ht="12.75">
      <c r="B3" s="68" t="s">
        <v>188</v>
      </c>
    </row>
    <row r="4" ht="12.75">
      <c r="B4" s="68"/>
    </row>
    <row r="5" spans="2:3" ht="25.5">
      <c r="B5" s="18" t="s">
        <v>12</v>
      </c>
      <c r="C5" s="65" t="s">
        <v>195</v>
      </c>
    </row>
    <row r="6" spans="2:3" ht="12.75">
      <c r="B6" s="18" t="s">
        <v>13</v>
      </c>
      <c r="C6" s="18" t="s">
        <v>147</v>
      </c>
    </row>
    <row r="7" spans="2:3" ht="12.75">
      <c r="B7" s="18" t="s">
        <v>14</v>
      </c>
      <c r="C7" s="18" t="s">
        <v>148</v>
      </c>
    </row>
    <row r="8" spans="2:3" ht="12.75">
      <c r="B8" s="18" t="s">
        <v>97</v>
      </c>
      <c r="C8" s="21" t="s">
        <v>192</v>
      </c>
    </row>
    <row r="9" spans="2:3" ht="12.75">
      <c r="B9" s="18" t="s">
        <v>202</v>
      </c>
      <c r="C9" s="67">
        <v>37012</v>
      </c>
    </row>
    <row r="10" spans="2:3" ht="12.75">
      <c r="B10" s="18" t="s">
        <v>15</v>
      </c>
      <c r="C10" s="18" t="s">
        <v>170</v>
      </c>
    </row>
    <row r="11" spans="2:3" ht="12.75">
      <c r="B11" s="18" t="s">
        <v>16</v>
      </c>
      <c r="C11" s="21" t="s">
        <v>198</v>
      </c>
    </row>
    <row r="12" ht="12.75">
      <c r="C12" s="21"/>
    </row>
    <row r="13" ht="12.75">
      <c r="B13" s="68" t="s">
        <v>189</v>
      </c>
    </row>
    <row r="14" ht="12.75">
      <c r="B14" s="68"/>
    </row>
    <row r="15" spans="2:3" ht="25.5">
      <c r="B15" s="18" t="s">
        <v>12</v>
      </c>
      <c r="C15" s="65" t="s">
        <v>195</v>
      </c>
    </row>
    <row r="16" spans="2:3" ht="12.75">
      <c r="B16" s="18" t="s">
        <v>13</v>
      </c>
      <c r="C16" s="18" t="s">
        <v>147</v>
      </c>
    </row>
    <row r="17" spans="2:3" ht="12.75">
      <c r="B17" s="18" t="s">
        <v>14</v>
      </c>
      <c r="C17" s="18" t="s">
        <v>148</v>
      </c>
    </row>
    <row r="18" spans="2:3" ht="12.75">
      <c r="B18" s="18" t="s">
        <v>97</v>
      </c>
      <c r="C18" s="21">
        <v>37034</v>
      </c>
    </row>
    <row r="19" spans="2:3" ht="12.75">
      <c r="B19" s="18" t="s">
        <v>202</v>
      </c>
      <c r="C19" s="67">
        <v>37012</v>
      </c>
    </row>
    <row r="20" spans="2:3" ht="12.75">
      <c r="B20" s="18" t="s">
        <v>15</v>
      </c>
      <c r="C20" s="61" t="s">
        <v>187</v>
      </c>
    </row>
    <row r="21" spans="2:3" ht="12.75">
      <c r="B21" s="18" t="s">
        <v>16</v>
      </c>
      <c r="C21" s="21" t="s">
        <v>198</v>
      </c>
    </row>
    <row r="22" ht="12.75">
      <c r="C22" s="21"/>
    </row>
    <row r="23" ht="12.75">
      <c r="B23" s="68" t="s">
        <v>190</v>
      </c>
    </row>
    <row r="24" ht="12.75">
      <c r="B24" s="68"/>
    </row>
    <row r="25" spans="2:3" ht="25.5">
      <c r="B25" s="18" t="s">
        <v>12</v>
      </c>
      <c r="C25" s="65" t="s">
        <v>195</v>
      </c>
    </row>
    <row r="26" spans="2:3" ht="12.75">
      <c r="B26" s="18" t="s">
        <v>13</v>
      </c>
      <c r="C26" s="18" t="s">
        <v>147</v>
      </c>
    </row>
    <row r="27" spans="2:3" ht="12.75">
      <c r="B27" s="18" t="s">
        <v>14</v>
      </c>
      <c r="C27" s="18" t="s">
        <v>148</v>
      </c>
    </row>
    <row r="28" spans="2:3" ht="12.75">
      <c r="B28" s="18" t="s">
        <v>97</v>
      </c>
      <c r="C28" s="21">
        <v>37033</v>
      </c>
    </row>
    <row r="29" spans="2:3" ht="12.75">
      <c r="B29" s="18" t="s">
        <v>202</v>
      </c>
      <c r="C29" s="67">
        <v>37012</v>
      </c>
    </row>
    <row r="30" spans="2:3" s="57" customFormat="1" ht="12.75">
      <c r="B30" s="57" t="s">
        <v>15</v>
      </c>
      <c r="C30" s="57" t="s">
        <v>186</v>
      </c>
    </row>
    <row r="31" spans="2:3" ht="12.75">
      <c r="B31" s="18" t="s">
        <v>16</v>
      </c>
      <c r="C31" s="18" t="s">
        <v>199</v>
      </c>
    </row>
    <row r="33" ht="12.75">
      <c r="B33" s="68" t="s">
        <v>191</v>
      </c>
    </row>
    <row r="34" ht="12.75">
      <c r="B34" s="68"/>
    </row>
    <row r="35" spans="2:3" ht="25.5">
      <c r="B35" s="18" t="s">
        <v>12</v>
      </c>
      <c r="C35" s="65" t="s">
        <v>196</v>
      </c>
    </row>
    <row r="36" spans="2:3" ht="12.75">
      <c r="B36" s="18" t="s">
        <v>13</v>
      </c>
      <c r="C36" s="18" t="s">
        <v>147</v>
      </c>
    </row>
    <row r="37" spans="2:3" ht="12.75">
      <c r="B37" s="18" t="s">
        <v>14</v>
      </c>
      <c r="C37" s="18" t="s">
        <v>148</v>
      </c>
    </row>
    <row r="38" spans="2:3" ht="12.75">
      <c r="B38" s="18" t="s">
        <v>97</v>
      </c>
      <c r="C38" s="21" t="s">
        <v>194</v>
      </c>
    </row>
    <row r="39" spans="2:3" ht="12.75">
      <c r="B39" s="18" t="s">
        <v>202</v>
      </c>
      <c r="C39" s="67">
        <v>37012</v>
      </c>
    </row>
    <row r="40" spans="2:3" ht="12.75">
      <c r="B40" s="57" t="s">
        <v>15</v>
      </c>
      <c r="C40" s="61" t="s">
        <v>171</v>
      </c>
    </row>
    <row r="41" spans="2:3" ht="12.75">
      <c r="B41" s="18" t="s">
        <v>16</v>
      </c>
      <c r="C41" s="18" t="s">
        <v>168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4"/>
  <sheetViews>
    <sheetView zoomScale="80" zoomScaleNormal="80" workbookViewId="0" topLeftCell="B1">
      <selection activeCell="I16" sqref="I16"/>
    </sheetView>
  </sheetViews>
  <sheetFormatPr defaultColWidth="9.140625" defaultRowHeight="12.75"/>
  <cols>
    <col min="1" max="1" width="8.00390625" style="23" hidden="1" customWidth="1"/>
    <col min="2" max="2" width="21.140625" style="23" customWidth="1"/>
    <col min="3" max="3" width="11.7109375" style="23" customWidth="1"/>
    <col min="4" max="4" width="8.8515625" style="9" customWidth="1"/>
    <col min="5" max="5" width="6.140625" style="9" customWidth="1"/>
    <col min="6" max="6" width="5.140625" style="9" customWidth="1"/>
    <col min="7" max="7" width="10.00390625" style="23" customWidth="1"/>
    <col min="8" max="8" width="4.57421875" style="23" customWidth="1"/>
    <col min="9" max="9" width="9.7109375" style="24" customWidth="1"/>
    <col min="10" max="10" width="4.7109375" style="23" customWidth="1"/>
    <col min="11" max="11" width="8.8515625" style="23" customWidth="1"/>
    <col min="12" max="12" width="4.57421875" style="23" customWidth="1"/>
    <col min="13" max="13" width="8.8515625" style="23" customWidth="1"/>
    <col min="14" max="14" width="2.140625" style="23" customWidth="1"/>
    <col min="15" max="16384" width="8.8515625" style="23" customWidth="1"/>
  </cols>
  <sheetData>
    <row r="1" spans="2:3" ht="12.75">
      <c r="B1" s="22" t="s">
        <v>87</v>
      </c>
      <c r="C1" s="22"/>
    </row>
    <row r="2" spans="2:12" ht="12.75">
      <c r="B2" s="25"/>
      <c r="C2" s="25"/>
      <c r="G2" s="25"/>
      <c r="H2" s="25"/>
      <c r="I2" s="26"/>
      <c r="J2" s="25"/>
      <c r="K2" s="25"/>
      <c r="L2" s="25"/>
    </row>
    <row r="3" spans="2:5" ht="12.75">
      <c r="B3" s="18"/>
      <c r="C3" s="18" t="s">
        <v>120</v>
      </c>
      <c r="D3" s="9" t="s">
        <v>17</v>
      </c>
      <c r="E3" s="9" t="s">
        <v>90</v>
      </c>
    </row>
    <row r="4" spans="2:12" ht="12.75">
      <c r="B4" s="18"/>
      <c r="C4" s="18"/>
      <c r="G4" s="25"/>
      <c r="H4" s="25"/>
      <c r="I4" s="26"/>
      <c r="J4" s="25"/>
      <c r="K4" s="25"/>
      <c r="L4" s="25"/>
    </row>
    <row r="5" spans="2:12" ht="12.75">
      <c r="B5" s="18"/>
      <c r="C5" s="18"/>
      <c r="G5" s="25"/>
      <c r="H5" s="25"/>
      <c r="I5" s="26"/>
      <c r="J5" s="25"/>
      <c r="K5" s="25"/>
      <c r="L5" s="25"/>
    </row>
    <row r="6" spans="1:13" ht="12.75">
      <c r="A6" s="23">
        <v>1</v>
      </c>
      <c r="B6" s="27" t="s">
        <v>188</v>
      </c>
      <c r="C6" s="27" t="s">
        <v>121</v>
      </c>
      <c r="G6" s="25" t="s">
        <v>223</v>
      </c>
      <c r="H6" s="25"/>
      <c r="I6" s="26" t="s">
        <v>224</v>
      </c>
      <c r="J6" s="25"/>
      <c r="K6" s="25" t="s">
        <v>225</v>
      </c>
      <c r="L6" s="25"/>
      <c r="M6" s="25" t="s">
        <v>226</v>
      </c>
    </row>
    <row r="7" spans="2:12" ht="12.75">
      <c r="B7" s="9"/>
      <c r="C7" s="9"/>
      <c r="D7" s="18"/>
      <c r="E7" s="18"/>
      <c r="F7" s="18"/>
      <c r="G7" s="18"/>
      <c r="H7" s="18"/>
      <c r="I7" s="28"/>
      <c r="J7" s="18"/>
      <c r="K7" s="18"/>
      <c r="L7" s="25"/>
    </row>
    <row r="8" spans="2:13" ht="12.75">
      <c r="B8" s="9" t="s">
        <v>18</v>
      </c>
      <c r="C8" s="9" t="s">
        <v>205</v>
      </c>
      <c r="D8" s="9" t="s">
        <v>19</v>
      </c>
      <c r="E8" s="9" t="s">
        <v>20</v>
      </c>
      <c r="G8" s="18">
        <v>0.0085</v>
      </c>
      <c r="H8" s="18"/>
      <c r="I8" s="28">
        <v>0.0084</v>
      </c>
      <c r="J8" s="18"/>
      <c r="K8" s="18">
        <v>0.0095</v>
      </c>
      <c r="L8" s="25"/>
      <c r="M8" s="29">
        <f>AVERAGE(K8,I8,G8)</f>
        <v>0.0088</v>
      </c>
    </row>
    <row r="9" spans="2:13" ht="12.75">
      <c r="B9" s="9" t="s">
        <v>175</v>
      </c>
      <c r="C9" s="9" t="s">
        <v>205</v>
      </c>
      <c r="D9" s="9" t="s">
        <v>21</v>
      </c>
      <c r="E9" s="9" t="s">
        <v>20</v>
      </c>
      <c r="G9" s="31">
        <v>0.48</v>
      </c>
      <c r="H9" s="31"/>
      <c r="I9" s="32">
        <v>1.52</v>
      </c>
      <c r="J9" s="31"/>
      <c r="K9" s="31">
        <v>0.94</v>
      </c>
      <c r="L9" s="25"/>
      <c r="M9" s="30">
        <f>AVERAGE(K9,I9,G9)</f>
        <v>0.98</v>
      </c>
    </row>
    <row r="10" spans="2:13" ht="12.75">
      <c r="B10" s="9" t="s">
        <v>176</v>
      </c>
      <c r="C10" s="9" t="s">
        <v>205</v>
      </c>
      <c r="D10" s="9" t="s">
        <v>21</v>
      </c>
      <c r="E10" s="9" t="s">
        <v>20</v>
      </c>
      <c r="G10" s="31">
        <v>3.43</v>
      </c>
      <c r="H10" s="31"/>
      <c r="I10" s="32">
        <v>163.51</v>
      </c>
      <c r="J10" s="31"/>
      <c r="K10" s="31">
        <v>3.12</v>
      </c>
      <c r="L10" s="25"/>
      <c r="M10" s="30">
        <f>AVERAGE(K10,I10,G10)</f>
        <v>56.68666666666667</v>
      </c>
    </row>
    <row r="11" spans="2:13" ht="12.75">
      <c r="B11" s="9" t="s">
        <v>152</v>
      </c>
      <c r="C11" s="9" t="s">
        <v>206</v>
      </c>
      <c r="D11" s="9" t="s">
        <v>21</v>
      </c>
      <c r="E11" s="9" t="s">
        <v>20</v>
      </c>
      <c r="G11" s="31">
        <v>49</v>
      </c>
      <c r="H11" s="31"/>
      <c r="I11" s="32">
        <v>49.4</v>
      </c>
      <c r="J11" s="31"/>
      <c r="K11" s="31">
        <v>51.5</v>
      </c>
      <c r="L11" s="25"/>
      <c r="M11" s="30">
        <f>AVERAGE(K11,I11,G11)</f>
        <v>49.96666666666667</v>
      </c>
    </row>
    <row r="12" spans="2:13" ht="12.75">
      <c r="B12" s="9"/>
      <c r="C12" s="9"/>
      <c r="G12" s="31"/>
      <c r="H12" s="31"/>
      <c r="I12" s="32"/>
      <c r="J12" s="31"/>
      <c r="K12" s="31"/>
      <c r="L12" s="25"/>
      <c r="M12" s="30"/>
    </row>
    <row r="13" spans="2:13" ht="12.75">
      <c r="B13" s="9" t="s">
        <v>61</v>
      </c>
      <c r="C13" s="9"/>
      <c r="D13" s="9" t="s">
        <v>21</v>
      </c>
      <c r="E13" s="9" t="s">
        <v>99</v>
      </c>
      <c r="G13" s="31">
        <v>6.41</v>
      </c>
      <c r="H13" s="31"/>
      <c r="I13" s="32">
        <v>9.49</v>
      </c>
      <c r="J13" s="31"/>
      <c r="K13" s="31">
        <v>6.65</v>
      </c>
      <c r="L13" s="25"/>
      <c r="M13" s="30"/>
    </row>
    <row r="14" spans="2:13" ht="12.75">
      <c r="B14" s="9" t="s">
        <v>62</v>
      </c>
      <c r="C14" s="9"/>
      <c r="D14" s="9" t="s">
        <v>21</v>
      </c>
      <c r="E14" s="9" t="s">
        <v>99</v>
      </c>
      <c r="G14" s="31">
        <v>10.16</v>
      </c>
      <c r="H14" s="31"/>
      <c r="I14" s="32">
        <v>7.44</v>
      </c>
      <c r="J14" s="31"/>
      <c r="K14" s="31">
        <v>10.55</v>
      </c>
      <c r="L14" s="25"/>
      <c r="M14" s="33"/>
    </row>
    <row r="15" spans="2:13" ht="12.75">
      <c r="B15" s="9"/>
      <c r="C15" s="9"/>
      <c r="G15" s="31"/>
      <c r="H15" s="31"/>
      <c r="I15" s="32"/>
      <c r="J15" s="31"/>
      <c r="K15" s="31"/>
      <c r="L15" s="25"/>
      <c r="M15" s="33"/>
    </row>
    <row r="16" spans="2:13" ht="12.75">
      <c r="B16" s="9"/>
      <c r="C16" s="23" t="s">
        <v>201</v>
      </c>
      <c r="G16" s="31"/>
      <c r="H16" s="31"/>
      <c r="I16" s="32"/>
      <c r="J16" s="31"/>
      <c r="K16" s="31"/>
      <c r="L16" s="25"/>
      <c r="M16" s="33"/>
    </row>
    <row r="17" spans="2:13" ht="12.75">
      <c r="B17" s="9"/>
      <c r="C17" s="9"/>
      <c r="G17" s="31"/>
      <c r="H17" s="31"/>
      <c r="I17" s="32"/>
      <c r="J17" s="31"/>
      <c r="K17" s="31"/>
      <c r="M17" s="34"/>
    </row>
    <row r="18" spans="2:13" ht="12.75">
      <c r="B18" s="9" t="s">
        <v>96</v>
      </c>
      <c r="C18" s="9" t="s">
        <v>150</v>
      </c>
      <c r="I18" s="23"/>
      <c r="M18" s="34"/>
    </row>
    <row r="19" spans="2:13" ht="12.75">
      <c r="B19" s="9" t="s">
        <v>124</v>
      </c>
      <c r="C19" s="9"/>
      <c r="D19" s="9" t="s">
        <v>64</v>
      </c>
      <c r="G19" s="31">
        <v>311</v>
      </c>
      <c r="H19" s="31"/>
      <c r="I19" s="32">
        <v>312</v>
      </c>
      <c r="J19" s="31"/>
      <c r="K19" s="31">
        <v>306</v>
      </c>
      <c r="M19" s="34"/>
    </row>
    <row r="20" spans="2:13" ht="12.75">
      <c r="B20" s="9" t="s">
        <v>149</v>
      </c>
      <c r="C20" s="9" t="s">
        <v>206</v>
      </c>
      <c r="D20" s="9" t="s">
        <v>64</v>
      </c>
      <c r="G20" s="35">
        <v>0.000326</v>
      </c>
      <c r="H20" s="31"/>
      <c r="I20" s="35">
        <f>(0.000112+0.0000587+0.0000754)/3</f>
        <v>8.203333333333334E-05</v>
      </c>
      <c r="J20" s="31"/>
      <c r="K20" s="35">
        <f>(0.000164+0.0000773+0.000134)/3</f>
        <v>0.0001251</v>
      </c>
      <c r="M20" s="34"/>
    </row>
    <row r="21" spans="2:13" ht="12.75">
      <c r="B21" s="9" t="s">
        <v>63</v>
      </c>
      <c r="C21" s="9" t="s">
        <v>206</v>
      </c>
      <c r="D21" s="9" t="s">
        <v>23</v>
      </c>
      <c r="G21" s="31">
        <v>99.99994</v>
      </c>
      <c r="H21" s="31"/>
      <c r="I21" s="32">
        <v>99.99997</v>
      </c>
      <c r="J21" s="31"/>
      <c r="K21" s="31">
        <v>99.99996</v>
      </c>
      <c r="M21" s="34"/>
    </row>
    <row r="22" spans="2:13" ht="12.75">
      <c r="B22" s="9"/>
      <c r="C22" s="9"/>
      <c r="G22" s="31"/>
      <c r="H22" s="31"/>
      <c r="I22" s="32"/>
      <c r="J22" s="31"/>
      <c r="K22" s="31"/>
      <c r="M22" s="34"/>
    </row>
    <row r="23" spans="2:13" ht="12.75">
      <c r="B23" s="9" t="s">
        <v>96</v>
      </c>
      <c r="C23" s="9" t="s">
        <v>151</v>
      </c>
      <c r="G23" s="31"/>
      <c r="H23" s="31"/>
      <c r="I23" s="32"/>
      <c r="J23" s="31"/>
      <c r="K23" s="31"/>
      <c r="M23" s="34"/>
    </row>
    <row r="24" spans="2:13" ht="12.75">
      <c r="B24" s="9" t="s">
        <v>124</v>
      </c>
      <c r="C24" s="9"/>
      <c r="D24" s="9" t="s">
        <v>64</v>
      </c>
      <c r="G24" s="31">
        <v>475</v>
      </c>
      <c r="H24" s="31"/>
      <c r="I24" s="32">
        <v>473</v>
      </c>
      <c r="J24" s="31"/>
      <c r="K24" s="31">
        <v>257</v>
      </c>
      <c r="M24" s="34"/>
    </row>
    <row r="25" spans="2:13" ht="12.75">
      <c r="B25" s="9" t="s">
        <v>149</v>
      </c>
      <c r="C25" s="9" t="s">
        <v>206</v>
      </c>
      <c r="D25" s="9" t="s">
        <v>64</v>
      </c>
      <c r="G25" s="35">
        <f>(0.0000471+0.0000234+0.000199)/3</f>
        <v>8.983333333333333E-05</v>
      </c>
      <c r="H25" s="31"/>
      <c r="I25" s="35">
        <f>(0.0000862+0.0000727+0.0000725)/3</f>
        <v>7.713333333333334E-05</v>
      </c>
      <c r="J25" s="31"/>
      <c r="K25" s="35">
        <f>(0.0000222+0.0000717+0.0000726)/3</f>
        <v>5.5499999999999994E-05</v>
      </c>
      <c r="M25" s="34"/>
    </row>
    <row r="26" spans="2:13" ht="12.75">
      <c r="B26" s="9" t="s">
        <v>63</v>
      </c>
      <c r="C26" s="9" t="s">
        <v>206</v>
      </c>
      <c r="D26" s="9" t="s">
        <v>23</v>
      </c>
      <c r="F26" s="9" t="s">
        <v>34</v>
      </c>
      <c r="G26" s="31">
        <v>99.99998</v>
      </c>
      <c r="H26" s="31"/>
      <c r="I26" s="32">
        <v>99.99998</v>
      </c>
      <c r="J26" s="31" t="s">
        <v>34</v>
      </c>
      <c r="K26" s="31">
        <v>99.99998</v>
      </c>
      <c r="M26" s="34"/>
    </row>
    <row r="27" spans="2:13" ht="12.75">
      <c r="B27" s="9"/>
      <c r="C27" s="9"/>
      <c r="G27" s="31"/>
      <c r="H27" s="31"/>
      <c r="I27" s="32"/>
      <c r="J27" s="31"/>
      <c r="K27" s="31"/>
      <c r="M27" s="34"/>
    </row>
    <row r="28" spans="2:13" ht="12.75">
      <c r="B28" s="9" t="s">
        <v>128</v>
      </c>
      <c r="C28" s="9" t="s">
        <v>122</v>
      </c>
      <c r="D28" s="9" t="s">
        <v>205</v>
      </c>
      <c r="L28" s="25"/>
      <c r="M28" s="34"/>
    </row>
    <row r="29" spans="2:13" ht="12.75">
      <c r="B29" s="9" t="s">
        <v>108</v>
      </c>
      <c r="C29" s="9"/>
      <c r="D29" s="9" t="s">
        <v>22</v>
      </c>
      <c r="G29" s="31">
        <v>12898</v>
      </c>
      <c r="H29" s="31"/>
      <c r="I29" s="32">
        <v>12892</v>
      </c>
      <c r="J29" s="12"/>
      <c r="K29" s="31">
        <v>12437</v>
      </c>
      <c r="L29" s="25"/>
      <c r="M29" s="33">
        <v>12742</v>
      </c>
    </row>
    <row r="30" spans="2:13" ht="12.75">
      <c r="B30" s="9" t="s">
        <v>125</v>
      </c>
      <c r="C30" s="9"/>
      <c r="D30" s="9" t="s">
        <v>23</v>
      </c>
      <c r="G30" s="31">
        <v>9.15</v>
      </c>
      <c r="H30" s="31"/>
      <c r="I30" s="32">
        <v>9.3</v>
      </c>
      <c r="J30" s="31"/>
      <c r="K30" s="31">
        <v>9.33</v>
      </c>
      <c r="M30" s="30">
        <v>9.26</v>
      </c>
    </row>
    <row r="31" spans="2:13" ht="12.75">
      <c r="B31" s="9" t="s">
        <v>126</v>
      </c>
      <c r="C31" s="9"/>
      <c r="D31" s="9" t="s">
        <v>23</v>
      </c>
      <c r="G31" s="31">
        <v>19.2</v>
      </c>
      <c r="H31" s="31"/>
      <c r="I31" s="32">
        <v>19.7</v>
      </c>
      <c r="J31" s="31"/>
      <c r="K31" s="31">
        <v>19.7</v>
      </c>
      <c r="M31" s="34">
        <v>19.5</v>
      </c>
    </row>
    <row r="32" spans="2:13" ht="12.75">
      <c r="B32" s="9" t="s">
        <v>107</v>
      </c>
      <c r="C32" s="9"/>
      <c r="D32" s="9" t="s">
        <v>24</v>
      </c>
      <c r="G32" s="31">
        <v>139</v>
      </c>
      <c r="H32" s="31"/>
      <c r="I32" s="32">
        <v>140</v>
      </c>
      <c r="J32" s="31"/>
      <c r="K32" s="31">
        <v>140</v>
      </c>
      <c r="M32" s="34">
        <v>140</v>
      </c>
    </row>
    <row r="33" spans="2:13" ht="12.75">
      <c r="B33" s="9"/>
      <c r="C33" s="9"/>
      <c r="G33" s="31"/>
      <c r="H33" s="31"/>
      <c r="I33" s="32"/>
      <c r="J33" s="31"/>
      <c r="K33" s="31"/>
      <c r="M33" s="34"/>
    </row>
    <row r="34" spans="2:13" ht="12.75">
      <c r="B34" s="9" t="s">
        <v>128</v>
      </c>
      <c r="C34" s="9" t="s">
        <v>197</v>
      </c>
      <c r="D34" s="9" t="s">
        <v>206</v>
      </c>
      <c r="G34" s="31"/>
      <c r="H34" s="31"/>
      <c r="I34" s="32"/>
      <c r="J34" s="31"/>
      <c r="K34" s="31"/>
      <c r="M34" s="34"/>
    </row>
    <row r="35" spans="2:13" ht="12.75">
      <c r="B35" s="9" t="s">
        <v>108</v>
      </c>
      <c r="C35" s="9"/>
      <c r="D35" s="9" t="s">
        <v>22</v>
      </c>
      <c r="G35" s="31">
        <v>14062</v>
      </c>
      <c r="H35" s="31"/>
      <c r="I35" s="32">
        <v>13264</v>
      </c>
      <c r="J35" s="31"/>
      <c r="K35" s="31">
        <v>13230</v>
      </c>
      <c r="M35" s="33"/>
    </row>
    <row r="36" spans="2:13" ht="12.75">
      <c r="B36" s="9" t="s">
        <v>125</v>
      </c>
      <c r="C36" s="9"/>
      <c r="D36" s="9" t="s">
        <v>23</v>
      </c>
      <c r="G36" s="31"/>
      <c r="H36" s="31"/>
      <c r="I36" s="32"/>
      <c r="J36" s="31"/>
      <c r="K36" s="31"/>
      <c r="M36" s="34"/>
    </row>
    <row r="37" spans="2:13" ht="12.75">
      <c r="B37" s="9" t="s">
        <v>126</v>
      </c>
      <c r="C37" s="9"/>
      <c r="D37" s="9" t="s">
        <v>23</v>
      </c>
      <c r="G37" s="31"/>
      <c r="H37" s="31"/>
      <c r="I37" s="32"/>
      <c r="J37" s="31"/>
      <c r="K37" s="31"/>
      <c r="M37" s="34"/>
    </row>
    <row r="38" spans="2:13" ht="12.75">
      <c r="B38" s="9" t="s">
        <v>107</v>
      </c>
      <c r="C38" s="9"/>
      <c r="D38" s="9" t="s">
        <v>24</v>
      </c>
      <c r="G38" s="31"/>
      <c r="H38" s="31"/>
      <c r="I38" s="32"/>
      <c r="J38" s="31"/>
      <c r="K38" s="31"/>
      <c r="M38" s="34"/>
    </row>
    <row r="39" spans="2:13" ht="12.75">
      <c r="B39" s="9"/>
      <c r="C39" s="9"/>
      <c r="G39" s="31"/>
      <c r="H39" s="31"/>
      <c r="I39" s="32"/>
      <c r="J39" s="31"/>
      <c r="K39" s="31"/>
      <c r="M39" s="34"/>
    </row>
    <row r="40" spans="2:13" ht="12.75">
      <c r="B40" s="9" t="s">
        <v>128</v>
      </c>
      <c r="C40" s="9" t="s">
        <v>154</v>
      </c>
      <c r="D40" s="9" t="s">
        <v>207</v>
      </c>
      <c r="G40" s="31"/>
      <c r="H40" s="31"/>
      <c r="I40" s="32"/>
      <c r="J40" s="31"/>
      <c r="K40" s="31"/>
      <c r="M40" s="34"/>
    </row>
    <row r="41" spans="2:13" ht="12.75">
      <c r="B41" s="9" t="s">
        <v>108</v>
      </c>
      <c r="C41" s="9"/>
      <c r="D41" s="9" t="s">
        <v>22</v>
      </c>
      <c r="G41" s="31">
        <v>14062</v>
      </c>
      <c r="H41" s="31"/>
      <c r="I41" s="32">
        <v>13264</v>
      </c>
      <c r="J41" s="31"/>
      <c r="K41" s="31">
        <v>13230</v>
      </c>
      <c r="M41" s="34"/>
    </row>
    <row r="42" spans="2:13" ht="12.75">
      <c r="B42" s="9" t="s">
        <v>125</v>
      </c>
      <c r="C42" s="9"/>
      <c r="D42" s="9" t="s">
        <v>23</v>
      </c>
      <c r="G42" s="31">
        <v>9.2</v>
      </c>
      <c r="H42" s="31"/>
      <c r="I42" s="32">
        <v>9.3</v>
      </c>
      <c r="J42" s="31"/>
      <c r="K42" s="31">
        <v>9.2</v>
      </c>
      <c r="M42" s="34"/>
    </row>
    <row r="43" spans="2:13" ht="12.75">
      <c r="B43" s="9" t="s">
        <v>126</v>
      </c>
      <c r="C43" s="9"/>
      <c r="D43" s="9" t="s">
        <v>23</v>
      </c>
      <c r="G43" s="31">
        <v>18.3</v>
      </c>
      <c r="H43" s="31"/>
      <c r="I43" s="32">
        <v>19.2</v>
      </c>
      <c r="J43" s="31"/>
      <c r="K43" s="31">
        <v>20.2</v>
      </c>
      <c r="M43" s="34"/>
    </row>
    <row r="44" spans="2:13" ht="12.75">
      <c r="B44" s="9" t="s">
        <v>107</v>
      </c>
      <c r="C44" s="9"/>
      <c r="D44" s="9" t="s">
        <v>24</v>
      </c>
      <c r="G44" s="31"/>
      <c r="H44" s="31"/>
      <c r="I44" s="32"/>
      <c r="J44" s="31"/>
      <c r="K44" s="31"/>
      <c r="M44" s="34"/>
    </row>
    <row r="45" spans="2:13" ht="12.75">
      <c r="B45" s="9"/>
      <c r="C45" s="9"/>
      <c r="G45" s="31"/>
      <c r="H45" s="31"/>
      <c r="I45" s="32"/>
      <c r="J45" s="31"/>
      <c r="K45" s="31"/>
      <c r="M45" s="34"/>
    </row>
    <row r="46" spans="2:13" ht="12.75">
      <c r="B46" s="9" t="s">
        <v>61</v>
      </c>
      <c r="C46" s="9" t="s">
        <v>205</v>
      </c>
      <c r="D46" s="9" t="s">
        <v>21</v>
      </c>
      <c r="E46" s="9" t="s">
        <v>20</v>
      </c>
      <c r="G46" s="10">
        <f>G13*(21-7)/(21-G$30)</f>
        <v>7.572995780590718</v>
      </c>
      <c r="H46" s="10"/>
      <c r="I46" s="10">
        <f>I13*(21-7)/(21-I$30)</f>
        <v>11.355555555555558</v>
      </c>
      <c r="J46" s="10"/>
      <c r="K46" s="10">
        <f>K13*(21-7)/(21-K$30)</f>
        <v>7.977720651242503</v>
      </c>
      <c r="L46" s="10"/>
      <c r="M46" s="10">
        <f>AVERAGE(K46,I46,G46)</f>
        <v>8.968757329129593</v>
      </c>
    </row>
    <row r="47" spans="2:13" ht="12.75">
      <c r="B47" s="9" t="s">
        <v>62</v>
      </c>
      <c r="C47" s="9" t="s">
        <v>205</v>
      </c>
      <c r="D47" s="9" t="s">
        <v>21</v>
      </c>
      <c r="E47" s="9" t="s">
        <v>20</v>
      </c>
      <c r="G47" s="10">
        <f>G14*(21-7)/(21-G$30)</f>
        <v>12.003375527426162</v>
      </c>
      <c r="H47" s="10"/>
      <c r="I47" s="10">
        <f>I14*(21-7)/(21-I$30)</f>
        <v>8.902564102564105</v>
      </c>
      <c r="J47" s="10"/>
      <c r="K47" s="10">
        <f>K14*(21-7)/(21-K$30)</f>
        <v>12.656383890317054</v>
      </c>
      <c r="L47" s="10"/>
      <c r="M47" s="10">
        <f>AVERAGE(K47,I47,G47)</f>
        <v>11.187441173435772</v>
      </c>
    </row>
    <row r="48" spans="2:13" ht="12.75">
      <c r="B48" s="9" t="s">
        <v>127</v>
      </c>
      <c r="C48" s="9" t="s">
        <v>205</v>
      </c>
      <c r="D48" s="9" t="s">
        <v>21</v>
      </c>
      <c r="E48" s="9" t="s">
        <v>20</v>
      </c>
      <c r="G48" s="11">
        <f>G46+G47*2</f>
        <v>31.57974683544304</v>
      </c>
      <c r="H48" s="11"/>
      <c r="I48" s="11">
        <f>I46+I47*2</f>
        <v>29.160683760683767</v>
      </c>
      <c r="J48" s="11"/>
      <c r="K48" s="11">
        <f>K46+K47*2</f>
        <v>33.29048843187661</v>
      </c>
      <c r="L48" s="11"/>
      <c r="M48" s="10">
        <f>AVERAGE(K48,I48,G48)</f>
        <v>31.343639676001136</v>
      </c>
    </row>
    <row r="49" spans="2:13" ht="13.5" customHeight="1">
      <c r="B49" s="9"/>
      <c r="C49" s="9"/>
      <c r="G49" s="31"/>
      <c r="H49" s="31"/>
      <c r="I49" s="32"/>
      <c r="J49" s="31"/>
      <c r="K49" s="31"/>
      <c r="M49" s="34"/>
    </row>
    <row r="50" spans="1:13" ht="12.75">
      <c r="A50" s="23">
        <v>2</v>
      </c>
      <c r="B50" s="27" t="s">
        <v>189</v>
      </c>
      <c r="C50" s="27" t="s">
        <v>121</v>
      </c>
      <c r="G50" s="25" t="s">
        <v>223</v>
      </c>
      <c r="H50" s="25"/>
      <c r="I50" s="26" t="s">
        <v>224</v>
      </c>
      <c r="J50" s="25"/>
      <c r="K50" s="25" t="s">
        <v>225</v>
      </c>
      <c r="L50" s="25"/>
      <c r="M50" s="25" t="s">
        <v>226</v>
      </c>
    </row>
    <row r="51" spans="2:13" ht="12.75">
      <c r="B51" s="9"/>
      <c r="C51" s="9"/>
      <c r="G51" s="31"/>
      <c r="H51" s="31"/>
      <c r="I51" s="32"/>
      <c r="J51" s="31"/>
      <c r="K51" s="31"/>
      <c r="M51" s="34"/>
    </row>
    <row r="52" spans="2:13" ht="12.75">
      <c r="B52" s="9" t="s">
        <v>18</v>
      </c>
      <c r="C52" s="9" t="s">
        <v>205</v>
      </c>
      <c r="D52" s="9" t="s">
        <v>19</v>
      </c>
      <c r="E52" s="9" t="s">
        <v>20</v>
      </c>
      <c r="G52" s="18">
        <v>0.0064</v>
      </c>
      <c r="H52" s="18"/>
      <c r="I52" s="28">
        <v>0.0071</v>
      </c>
      <c r="J52" s="18"/>
      <c r="K52" s="18">
        <v>0.0058</v>
      </c>
      <c r="L52" s="25"/>
      <c r="M52" s="29">
        <f>AVERAGE(K52,I52,G52)</f>
        <v>0.0064333333333333334</v>
      </c>
    </row>
    <row r="53" spans="2:13" ht="12.75">
      <c r="B53" s="9" t="s">
        <v>177</v>
      </c>
      <c r="C53" s="9" t="s">
        <v>205</v>
      </c>
      <c r="D53" s="9" t="s">
        <v>21</v>
      </c>
      <c r="E53" s="9" t="s">
        <v>20</v>
      </c>
      <c r="G53" s="31">
        <v>1.12</v>
      </c>
      <c r="H53" s="31"/>
      <c r="I53" s="32">
        <v>1.51</v>
      </c>
      <c r="J53" s="31"/>
      <c r="K53" s="31">
        <v>1.21</v>
      </c>
      <c r="L53" s="25"/>
      <c r="M53" s="30">
        <f>AVERAGE(K53,I53,G53)</f>
        <v>1.28</v>
      </c>
    </row>
    <row r="54" spans="2:13" ht="12.75">
      <c r="B54" s="9" t="s">
        <v>176</v>
      </c>
      <c r="C54" s="9" t="s">
        <v>205</v>
      </c>
      <c r="D54" s="9" t="s">
        <v>21</v>
      </c>
      <c r="E54" s="9" t="s">
        <v>20</v>
      </c>
      <c r="G54" s="31">
        <v>3.91</v>
      </c>
      <c r="H54" s="31"/>
      <c r="I54" s="32">
        <v>4.13</v>
      </c>
      <c r="J54" s="31"/>
      <c r="K54" s="31">
        <v>3.42</v>
      </c>
      <c r="L54" s="25"/>
      <c r="M54" s="30">
        <f>AVERAGE(K54,I54,G54)</f>
        <v>3.8200000000000003</v>
      </c>
    </row>
    <row r="55" spans="2:13" ht="12.75">
      <c r="B55" s="9" t="s">
        <v>152</v>
      </c>
      <c r="C55" s="9" t="s">
        <v>206</v>
      </c>
      <c r="D55" s="9" t="s">
        <v>21</v>
      </c>
      <c r="E55" s="9" t="s">
        <v>20</v>
      </c>
      <c r="G55" s="31">
        <v>42.4</v>
      </c>
      <c r="H55" s="31"/>
      <c r="I55" s="32">
        <v>43.8</v>
      </c>
      <c r="J55" s="31"/>
      <c r="K55" s="31">
        <v>45.4</v>
      </c>
      <c r="L55" s="25"/>
      <c r="M55" s="30">
        <f>AVERAGE(K55,I55,G55)</f>
        <v>43.86666666666667</v>
      </c>
    </row>
    <row r="56" spans="2:13" ht="12.75">
      <c r="B56" s="9"/>
      <c r="C56" s="9"/>
      <c r="G56" s="31"/>
      <c r="H56" s="31"/>
      <c r="I56" s="32"/>
      <c r="J56" s="31"/>
      <c r="K56" s="31"/>
      <c r="L56" s="25"/>
      <c r="M56" s="33"/>
    </row>
    <row r="57" spans="2:13" ht="12.75">
      <c r="B57" s="9" t="s">
        <v>61</v>
      </c>
      <c r="C57" s="9"/>
      <c r="D57" s="9" t="s">
        <v>21</v>
      </c>
      <c r="E57" s="9" t="s">
        <v>99</v>
      </c>
      <c r="G57" s="31">
        <v>4.45</v>
      </c>
      <c r="H57" s="31"/>
      <c r="I57" s="32">
        <v>3.49</v>
      </c>
      <c r="J57" s="31"/>
      <c r="K57" s="31">
        <v>3.05</v>
      </c>
      <c r="L57" s="25"/>
      <c r="M57" s="30"/>
    </row>
    <row r="58" spans="2:13" ht="12.75">
      <c r="B58" s="9" t="s">
        <v>62</v>
      </c>
      <c r="C58" s="9"/>
      <c r="D58" s="9" t="s">
        <v>21</v>
      </c>
      <c r="E58" s="9" t="s">
        <v>99</v>
      </c>
      <c r="G58" s="31">
        <v>8.91</v>
      </c>
      <c r="H58" s="31"/>
      <c r="I58" s="32">
        <v>14.05</v>
      </c>
      <c r="J58" s="31"/>
      <c r="K58" s="31">
        <v>8.1</v>
      </c>
      <c r="L58" s="25"/>
      <c r="M58" s="33"/>
    </row>
    <row r="59" spans="2:13" ht="12.75">
      <c r="B59" s="9"/>
      <c r="C59" s="9"/>
      <c r="G59" s="31"/>
      <c r="H59" s="31"/>
      <c r="I59" s="32"/>
      <c r="J59" s="31"/>
      <c r="K59" s="31"/>
      <c r="L59" s="25"/>
      <c r="M59" s="33"/>
    </row>
    <row r="60" spans="2:13" ht="12.75">
      <c r="B60" s="9" t="s">
        <v>96</v>
      </c>
      <c r="C60" s="9" t="s">
        <v>150</v>
      </c>
      <c r="G60" s="31"/>
      <c r="H60" s="31"/>
      <c r="I60" s="32"/>
      <c r="J60" s="31"/>
      <c r="K60" s="31"/>
      <c r="M60" s="34"/>
    </row>
    <row r="61" spans="2:13" ht="12.75">
      <c r="B61" s="9" t="s">
        <v>124</v>
      </c>
      <c r="C61" s="9"/>
      <c r="D61" s="9" t="s">
        <v>64</v>
      </c>
      <c r="G61" s="31">
        <v>309</v>
      </c>
      <c r="I61" s="32">
        <v>309</v>
      </c>
      <c r="K61" s="31">
        <v>309</v>
      </c>
      <c r="M61" s="34"/>
    </row>
    <row r="62" spans="2:13" ht="12.75">
      <c r="B62" s="9" t="s">
        <v>149</v>
      </c>
      <c r="C62" s="9" t="s">
        <v>206</v>
      </c>
      <c r="D62" s="9" t="s">
        <v>64</v>
      </c>
      <c r="G62" s="35">
        <f>(0.0000376+0.000108+0.0000828)/3</f>
        <v>7.613333333333332E-05</v>
      </c>
      <c r="H62" s="31"/>
      <c r="I62" s="35">
        <f>(0.0000819+0.0000662+0.00008)/3</f>
        <v>7.603333333333334E-05</v>
      </c>
      <c r="J62" s="31"/>
      <c r="K62" s="35">
        <f>(0.0000619+0.0000547+0.0000662)/3</f>
        <v>6.0933333333333335E-05</v>
      </c>
      <c r="M62" s="34"/>
    </row>
    <row r="63" spans="2:13" ht="12.75">
      <c r="B63" s="9" t="s">
        <v>63</v>
      </c>
      <c r="C63" s="9" t="s">
        <v>206</v>
      </c>
      <c r="D63" s="9" t="s">
        <v>23</v>
      </c>
      <c r="G63" s="31">
        <v>99.99998</v>
      </c>
      <c r="H63" s="31"/>
      <c r="I63" s="32">
        <v>99.99998</v>
      </c>
      <c r="J63" s="31"/>
      <c r="K63" s="31">
        <v>99.99998</v>
      </c>
      <c r="M63" s="34"/>
    </row>
    <row r="64" spans="2:13" ht="12.75">
      <c r="B64" s="9"/>
      <c r="C64" s="9"/>
      <c r="G64" s="31"/>
      <c r="H64" s="31"/>
      <c r="I64" s="32"/>
      <c r="J64" s="31"/>
      <c r="K64" s="31"/>
      <c r="M64" s="34"/>
    </row>
    <row r="65" spans="2:13" ht="12.75">
      <c r="B65" s="9" t="s">
        <v>96</v>
      </c>
      <c r="C65" s="9" t="s">
        <v>151</v>
      </c>
      <c r="G65" s="31"/>
      <c r="H65" s="31"/>
      <c r="I65" s="32"/>
      <c r="J65" s="31"/>
      <c r="K65" s="31"/>
      <c r="M65" s="34"/>
    </row>
    <row r="66" spans="2:11" ht="12.75">
      <c r="B66" s="9" t="s">
        <v>124</v>
      </c>
      <c r="C66" s="9"/>
      <c r="D66" s="9" t="s">
        <v>64</v>
      </c>
      <c r="G66" s="31">
        <v>772</v>
      </c>
      <c r="I66" s="32">
        <v>821</v>
      </c>
      <c r="K66" s="31">
        <v>745</v>
      </c>
    </row>
    <row r="67" spans="2:11" ht="12.75">
      <c r="B67" s="9" t="s">
        <v>149</v>
      </c>
      <c r="C67" s="9" t="s">
        <v>206</v>
      </c>
      <c r="D67" s="9" t="s">
        <v>64</v>
      </c>
      <c r="G67" s="36">
        <f>(0.0000434+0.0000427+0.0000542)/3</f>
        <v>4.676666666666667E-05</v>
      </c>
      <c r="I67" s="35">
        <f>(0.0000409+0.0000451+0.0000444)/3</f>
        <v>4.346666666666667E-05</v>
      </c>
      <c r="K67" s="36">
        <f>(0.0000412+0.000046+0.0000461)/3</f>
        <v>4.443333333333334E-05</v>
      </c>
    </row>
    <row r="68" spans="2:11" ht="12.75">
      <c r="B68" s="9" t="s">
        <v>63</v>
      </c>
      <c r="C68" s="9" t="s">
        <v>206</v>
      </c>
      <c r="D68" s="9" t="s">
        <v>23</v>
      </c>
      <c r="G68" s="31">
        <v>99.99999</v>
      </c>
      <c r="I68" s="32">
        <v>99.99999</v>
      </c>
      <c r="K68" s="31">
        <v>99.99999</v>
      </c>
    </row>
    <row r="69" spans="2:13" ht="12.75">
      <c r="B69" s="9"/>
      <c r="C69" s="9"/>
      <c r="G69" s="31"/>
      <c r="H69" s="31"/>
      <c r="I69" s="32"/>
      <c r="J69" s="31"/>
      <c r="K69" s="31"/>
      <c r="M69" s="34"/>
    </row>
    <row r="70" spans="2:13" ht="12.75">
      <c r="B70" s="9" t="s">
        <v>128</v>
      </c>
      <c r="C70" s="9" t="s">
        <v>122</v>
      </c>
      <c r="D70" s="9" t="s">
        <v>205</v>
      </c>
      <c r="L70" s="25"/>
      <c r="M70" s="34"/>
    </row>
    <row r="71" spans="2:13" ht="12.75">
      <c r="B71" s="9" t="s">
        <v>108</v>
      </c>
      <c r="C71" s="9"/>
      <c r="D71" s="9" t="s">
        <v>22</v>
      </c>
      <c r="G71" s="31">
        <v>14162</v>
      </c>
      <c r="H71" s="31"/>
      <c r="I71" s="32">
        <v>14294</v>
      </c>
      <c r="J71" s="12"/>
      <c r="K71" s="31">
        <v>14171</v>
      </c>
      <c r="L71" s="25"/>
      <c r="M71" s="33">
        <v>14209</v>
      </c>
    </row>
    <row r="72" spans="2:13" ht="12.75">
      <c r="B72" s="9" t="s">
        <v>125</v>
      </c>
      <c r="C72" s="9"/>
      <c r="D72" s="9" t="s">
        <v>23</v>
      </c>
      <c r="G72" s="31">
        <v>9.42</v>
      </c>
      <c r="H72" s="31"/>
      <c r="I72" s="32">
        <v>9.43</v>
      </c>
      <c r="J72" s="31"/>
      <c r="K72" s="31">
        <v>9.53</v>
      </c>
      <c r="M72" s="30">
        <v>9.46</v>
      </c>
    </row>
    <row r="73" spans="2:13" ht="12.75">
      <c r="B73" s="9" t="s">
        <v>126</v>
      </c>
      <c r="C73" s="9"/>
      <c r="D73" s="9" t="s">
        <v>23</v>
      </c>
      <c r="G73" s="31">
        <v>17.3</v>
      </c>
      <c r="H73" s="31"/>
      <c r="I73" s="32">
        <v>17.7</v>
      </c>
      <c r="J73" s="31"/>
      <c r="K73" s="31">
        <v>18.7</v>
      </c>
      <c r="M73" s="34">
        <v>17.9</v>
      </c>
    </row>
    <row r="74" spans="2:13" ht="12.75">
      <c r="B74" s="9" t="s">
        <v>107</v>
      </c>
      <c r="C74" s="9"/>
      <c r="D74" s="9" t="s">
        <v>24</v>
      </c>
      <c r="G74" s="31">
        <v>135</v>
      </c>
      <c r="H74" s="31"/>
      <c r="I74" s="32">
        <v>137</v>
      </c>
      <c r="J74" s="31"/>
      <c r="K74" s="31">
        <v>138</v>
      </c>
      <c r="M74" s="34">
        <v>137</v>
      </c>
    </row>
    <row r="75" spans="2:13" ht="12.75">
      <c r="B75" s="9"/>
      <c r="C75" s="9"/>
      <c r="G75" s="31"/>
      <c r="H75" s="31"/>
      <c r="I75" s="32"/>
      <c r="J75" s="31"/>
      <c r="K75" s="31"/>
      <c r="M75" s="34"/>
    </row>
    <row r="76" spans="2:13" ht="12.75">
      <c r="B76" s="9" t="s">
        <v>128</v>
      </c>
      <c r="C76" s="9" t="s">
        <v>197</v>
      </c>
      <c r="D76" s="9" t="s">
        <v>206</v>
      </c>
      <c r="G76" s="31"/>
      <c r="H76" s="31"/>
      <c r="I76" s="32"/>
      <c r="J76" s="31"/>
      <c r="K76" s="31"/>
      <c r="M76" s="34"/>
    </row>
    <row r="77" spans="2:13" ht="12.75">
      <c r="B77" s="9" t="s">
        <v>108</v>
      </c>
      <c r="C77" s="9"/>
      <c r="D77" s="9" t="s">
        <v>22</v>
      </c>
      <c r="G77" s="31">
        <v>14033</v>
      </c>
      <c r="H77" s="31"/>
      <c r="I77" s="32">
        <v>14455</v>
      </c>
      <c r="J77" s="31"/>
      <c r="K77" s="31">
        <v>14045</v>
      </c>
      <c r="M77" s="33"/>
    </row>
    <row r="78" spans="2:13" ht="12.75">
      <c r="B78" s="9" t="s">
        <v>125</v>
      </c>
      <c r="C78" s="9"/>
      <c r="D78" s="9" t="s">
        <v>23</v>
      </c>
      <c r="G78" s="31"/>
      <c r="H78" s="31"/>
      <c r="I78" s="32"/>
      <c r="J78" s="31"/>
      <c r="K78" s="31"/>
      <c r="M78" s="34"/>
    </row>
    <row r="79" spans="2:13" ht="12.75">
      <c r="B79" s="9" t="s">
        <v>126</v>
      </c>
      <c r="C79" s="9"/>
      <c r="D79" s="9" t="s">
        <v>23</v>
      </c>
      <c r="G79" s="31"/>
      <c r="H79" s="31"/>
      <c r="I79" s="32"/>
      <c r="J79" s="31"/>
      <c r="K79" s="31"/>
      <c r="M79" s="34"/>
    </row>
    <row r="80" spans="2:13" ht="12.75">
      <c r="B80" s="9" t="s">
        <v>107</v>
      </c>
      <c r="C80" s="9"/>
      <c r="D80" s="9" t="s">
        <v>24</v>
      </c>
      <c r="G80" s="31"/>
      <c r="H80" s="31"/>
      <c r="I80" s="32"/>
      <c r="J80" s="31"/>
      <c r="K80" s="31"/>
      <c r="M80" s="34"/>
    </row>
    <row r="81" spans="2:13" ht="12.75">
      <c r="B81" s="9"/>
      <c r="C81" s="9"/>
      <c r="G81" s="31"/>
      <c r="H81" s="31"/>
      <c r="I81" s="32"/>
      <c r="J81" s="31"/>
      <c r="K81" s="31"/>
      <c r="M81" s="34"/>
    </row>
    <row r="82" spans="2:13" ht="12.75">
      <c r="B82" s="9" t="s">
        <v>128</v>
      </c>
      <c r="C82" s="9" t="s">
        <v>154</v>
      </c>
      <c r="D82" s="9" t="s">
        <v>207</v>
      </c>
      <c r="G82" s="31"/>
      <c r="H82" s="31"/>
      <c r="I82" s="32"/>
      <c r="J82" s="31"/>
      <c r="K82" s="31"/>
      <c r="M82" s="34"/>
    </row>
    <row r="83" spans="2:13" ht="12.75">
      <c r="B83" s="9" t="s">
        <v>108</v>
      </c>
      <c r="C83" s="9"/>
      <c r="D83" s="9" t="s">
        <v>22</v>
      </c>
      <c r="G83" s="31">
        <v>14033</v>
      </c>
      <c r="H83" s="31"/>
      <c r="I83" s="32">
        <v>14455</v>
      </c>
      <c r="J83" s="31"/>
      <c r="K83" s="31">
        <v>14045</v>
      </c>
      <c r="M83" s="33"/>
    </row>
    <row r="84" spans="2:13" ht="12.75">
      <c r="B84" s="9" t="s">
        <v>125</v>
      </c>
      <c r="C84" s="9"/>
      <c r="D84" s="9" t="s">
        <v>23</v>
      </c>
      <c r="G84" s="23">
        <v>9.4</v>
      </c>
      <c r="I84" s="23">
        <v>9.4</v>
      </c>
      <c r="K84" s="23">
        <v>9.5</v>
      </c>
      <c r="M84" s="34"/>
    </row>
    <row r="85" spans="2:13" ht="12.75">
      <c r="B85" s="9" t="s">
        <v>126</v>
      </c>
      <c r="C85" s="9"/>
      <c r="D85" s="9" t="s">
        <v>23</v>
      </c>
      <c r="G85" s="31">
        <v>18.2</v>
      </c>
      <c r="H85" s="31"/>
      <c r="I85" s="32">
        <v>18</v>
      </c>
      <c r="J85" s="31"/>
      <c r="K85" s="31">
        <v>18.6</v>
      </c>
      <c r="M85" s="34"/>
    </row>
    <row r="86" spans="2:13" ht="12.75">
      <c r="B86" s="9" t="s">
        <v>107</v>
      </c>
      <c r="C86" s="9"/>
      <c r="D86" s="9" t="s">
        <v>24</v>
      </c>
      <c r="G86" s="31"/>
      <c r="H86" s="31"/>
      <c r="I86" s="32"/>
      <c r="J86" s="31"/>
      <c r="K86" s="31"/>
      <c r="M86" s="34"/>
    </row>
    <row r="87" spans="2:13" ht="12.75">
      <c r="B87" s="9"/>
      <c r="C87" s="9"/>
      <c r="G87" s="31"/>
      <c r="H87" s="31"/>
      <c r="I87" s="32"/>
      <c r="J87" s="31"/>
      <c r="K87" s="31"/>
      <c r="M87" s="34"/>
    </row>
    <row r="88" spans="2:13" ht="12.75">
      <c r="B88" s="9"/>
      <c r="C88" s="9"/>
      <c r="G88" s="12"/>
      <c r="H88" s="12"/>
      <c r="I88" s="12"/>
      <c r="J88" s="12"/>
      <c r="K88" s="12"/>
      <c r="L88" s="12"/>
      <c r="M88" s="33"/>
    </row>
    <row r="89" spans="2:13" ht="12.75">
      <c r="B89" s="9" t="s">
        <v>61</v>
      </c>
      <c r="C89" s="9" t="s">
        <v>205</v>
      </c>
      <c r="D89" s="9" t="s">
        <v>21</v>
      </c>
      <c r="E89" s="9" t="s">
        <v>20</v>
      </c>
      <c r="G89" s="10">
        <f>G57*(21-7)/(21-G$72)</f>
        <v>5.379965457685666</v>
      </c>
      <c r="H89" s="10"/>
      <c r="I89" s="10">
        <f>I57*(21-7)/(21-I$72)</f>
        <v>4.222990492653413</v>
      </c>
      <c r="J89" s="10"/>
      <c r="K89" s="10">
        <f>K57*(21-7)/(21-K$72)</f>
        <v>3.722755013077593</v>
      </c>
      <c r="L89" s="10"/>
      <c r="M89" s="30">
        <f>AVERAGE(K89,I89,G89)</f>
        <v>4.441903654472224</v>
      </c>
    </row>
    <row r="90" spans="2:13" ht="12.75">
      <c r="B90" s="9" t="s">
        <v>62</v>
      </c>
      <c r="C90" s="9" t="s">
        <v>205</v>
      </c>
      <c r="D90" s="9" t="s">
        <v>21</v>
      </c>
      <c r="E90" s="9" t="s">
        <v>20</v>
      </c>
      <c r="G90" s="10">
        <f>G58*(21-7)/(21-G$72)</f>
        <v>10.772020725388602</v>
      </c>
      <c r="H90" s="10"/>
      <c r="I90" s="10">
        <f>I58*(21-7)/(21-I$72)</f>
        <v>17.00086430423509</v>
      </c>
      <c r="J90" s="10"/>
      <c r="K90" s="10">
        <f>K58*(21-7)/(21-K$72)</f>
        <v>9.88666085440279</v>
      </c>
      <c r="L90" s="10"/>
      <c r="M90" s="30">
        <f>AVERAGE(K90,I90,G90)</f>
        <v>12.55318196134216</v>
      </c>
    </row>
    <row r="91" spans="2:13" ht="12.75">
      <c r="B91" s="9" t="s">
        <v>127</v>
      </c>
      <c r="C91" s="9" t="s">
        <v>205</v>
      </c>
      <c r="D91" s="9" t="s">
        <v>21</v>
      </c>
      <c r="E91" s="9" t="s">
        <v>20</v>
      </c>
      <c r="G91" s="11">
        <f>G89+G90*2</f>
        <v>26.92400690846287</v>
      </c>
      <c r="H91" s="11"/>
      <c r="I91" s="11">
        <f>I89+I90*2</f>
        <v>38.2247191011236</v>
      </c>
      <c r="J91" s="11"/>
      <c r="K91" s="11">
        <f>K89+K90*2</f>
        <v>23.49607672188317</v>
      </c>
      <c r="L91" s="11"/>
      <c r="M91" s="30">
        <f>AVERAGE(K91,I91,G91)</f>
        <v>29.548267577156548</v>
      </c>
    </row>
    <row r="92" spans="2:15" ht="12.75">
      <c r="B92" s="9"/>
      <c r="C92" s="9"/>
      <c r="D92" s="18"/>
      <c r="G92" s="11"/>
      <c r="H92" s="12"/>
      <c r="I92" s="11"/>
      <c r="J92" s="12"/>
      <c r="K92" s="11"/>
      <c r="L92" s="12"/>
      <c r="M92" s="11"/>
      <c r="O92" s="34"/>
    </row>
    <row r="93" spans="2:13" ht="12.75">
      <c r="B93" s="27" t="s">
        <v>190</v>
      </c>
      <c r="C93" s="27" t="s">
        <v>121</v>
      </c>
      <c r="G93" s="25" t="s">
        <v>223</v>
      </c>
      <c r="H93" s="25"/>
      <c r="I93" s="26" t="s">
        <v>224</v>
      </c>
      <c r="J93" s="25"/>
      <c r="K93" s="25" t="s">
        <v>225</v>
      </c>
      <c r="L93" s="25"/>
      <c r="M93" s="25" t="s">
        <v>226</v>
      </c>
    </row>
    <row r="94" spans="2:13" ht="12.75">
      <c r="B94" s="9"/>
      <c r="C94" s="9"/>
      <c r="G94" s="11"/>
      <c r="H94" s="31"/>
      <c r="I94" s="32"/>
      <c r="J94" s="31"/>
      <c r="K94" s="31"/>
      <c r="L94" s="31"/>
      <c r="M94" s="34"/>
    </row>
    <row r="95" spans="2:13" ht="12.75">
      <c r="B95" s="9" t="s">
        <v>18</v>
      </c>
      <c r="C95" s="9" t="s">
        <v>205</v>
      </c>
      <c r="D95" s="9" t="s">
        <v>19</v>
      </c>
      <c r="E95" s="9" t="s">
        <v>20</v>
      </c>
      <c r="G95" s="18">
        <v>0.0075</v>
      </c>
      <c r="H95" s="18"/>
      <c r="I95" s="28">
        <v>0.0076</v>
      </c>
      <c r="J95" s="18"/>
      <c r="K95" s="18">
        <v>0.0085</v>
      </c>
      <c r="L95" s="25"/>
      <c r="M95" s="29">
        <v>0.0079</v>
      </c>
    </row>
    <row r="96" spans="2:13" ht="12.75">
      <c r="B96" s="9" t="s">
        <v>175</v>
      </c>
      <c r="C96" s="9" t="s">
        <v>205</v>
      </c>
      <c r="D96" s="9" t="s">
        <v>21</v>
      </c>
      <c r="E96" s="9" t="s">
        <v>20</v>
      </c>
      <c r="G96" s="31">
        <v>1.09</v>
      </c>
      <c r="H96" s="31"/>
      <c r="I96" s="32">
        <v>1.92</v>
      </c>
      <c r="J96" s="31"/>
      <c r="K96" s="31">
        <v>1.36</v>
      </c>
      <c r="L96" s="25"/>
      <c r="M96" s="11">
        <f>AVERAGE(G96,I96,K96)</f>
        <v>1.4566666666666668</v>
      </c>
    </row>
    <row r="97" spans="2:13" ht="12.75">
      <c r="B97" s="9" t="s">
        <v>176</v>
      </c>
      <c r="C97" s="9" t="s">
        <v>205</v>
      </c>
      <c r="D97" s="9" t="s">
        <v>21</v>
      </c>
      <c r="E97" s="9" t="s">
        <v>20</v>
      </c>
      <c r="G97" s="31">
        <v>3.75</v>
      </c>
      <c r="H97" s="31"/>
      <c r="I97" s="32">
        <v>4.75</v>
      </c>
      <c r="J97" s="31"/>
      <c r="K97" s="31">
        <v>3.66</v>
      </c>
      <c r="L97" s="25"/>
      <c r="M97" s="11">
        <f>AVERAGE(G97,I97,K97)</f>
        <v>4.053333333333334</v>
      </c>
    </row>
    <row r="98" spans="2:13" ht="12.75">
      <c r="B98" s="9" t="s">
        <v>152</v>
      </c>
      <c r="C98" s="9" t="s">
        <v>207</v>
      </c>
      <c r="D98" s="9" t="s">
        <v>21</v>
      </c>
      <c r="E98" s="9" t="s">
        <v>20</v>
      </c>
      <c r="G98" s="31">
        <v>51.1</v>
      </c>
      <c r="H98" s="31"/>
      <c r="I98" s="32">
        <v>51.2</v>
      </c>
      <c r="J98" s="31"/>
      <c r="K98" s="31">
        <v>51.1</v>
      </c>
      <c r="L98" s="25"/>
      <c r="M98" s="11">
        <f>AVERAGE(G98,I98,K98)</f>
        <v>51.13333333333333</v>
      </c>
    </row>
    <row r="99" spans="2:13" ht="12.75">
      <c r="B99" s="9"/>
      <c r="C99" s="9"/>
      <c r="G99" s="31"/>
      <c r="H99" s="31"/>
      <c r="I99" s="32"/>
      <c r="J99" s="31"/>
      <c r="K99" s="31"/>
      <c r="L99" s="25"/>
      <c r="M99" s="30"/>
    </row>
    <row r="100" spans="2:13" ht="12.75">
      <c r="B100" s="9" t="s">
        <v>61</v>
      </c>
      <c r="C100" s="9"/>
      <c r="D100" s="9" t="s">
        <v>21</v>
      </c>
      <c r="E100" s="9" t="s">
        <v>99</v>
      </c>
      <c r="G100" s="31">
        <v>33.44</v>
      </c>
      <c r="H100" s="31"/>
      <c r="I100" s="32">
        <v>4.53</v>
      </c>
      <c r="J100" s="31"/>
      <c r="K100" s="31">
        <v>3.9</v>
      </c>
      <c r="L100" s="25"/>
      <c r="M100" s="30"/>
    </row>
    <row r="101" spans="2:13" ht="12.75">
      <c r="B101" s="9" t="s">
        <v>62</v>
      </c>
      <c r="C101" s="9"/>
      <c r="D101" s="9" t="s">
        <v>21</v>
      </c>
      <c r="E101" s="9" t="s">
        <v>99</v>
      </c>
      <c r="G101" s="31">
        <v>14</v>
      </c>
      <c r="H101" s="31"/>
      <c r="I101" s="32">
        <v>17.14</v>
      </c>
      <c r="J101" s="31"/>
      <c r="K101" s="31">
        <v>17.69</v>
      </c>
      <c r="L101" s="25"/>
      <c r="M101" s="33">
        <v>16.28</v>
      </c>
    </row>
    <row r="102" spans="2:13" ht="12.75">
      <c r="B102" s="9"/>
      <c r="C102" s="9"/>
      <c r="D102" s="18"/>
      <c r="H102" s="31"/>
      <c r="I102" s="23"/>
      <c r="J102" s="31"/>
      <c r="M102" s="34"/>
    </row>
    <row r="103" spans="2:13" ht="12.75">
      <c r="B103" s="9" t="s">
        <v>96</v>
      </c>
      <c r="C103" s="9" t="s">
        <v>150</v>
      </c>
      <c r="G103" s="31"/>
      <c r="H103" s="31"/>
      <c r="I103" s="32"/>
      <c r="J103" s="31"/>
      <c r="K103" s="31"/>
      <c r="M103" s="34"/>
    </row>
    <row r="104" spans="2:13" ht="12.75">
      <c r="B104" s="9" t="s">
        <v>124</v>
      </c>
      <c r="C104" s="9"/>
      <c r="D104" s="9" t="s">
        <v>64</v>
      </c>
      <c r="G104" s="31">
        <v>308</v>
      </c>
      <c r="I104" s="32">
        <v>309</v>
      </c>
      <c r="K104" s="31">
        <v>307</v>
      </c>
      <c r="M104" s="34"/>
    </row>
    <row r="105" spans="2:13" ht="12.75">
      <c r="B105" s="9" t="s">
        <v>149</v>
      </c>
      <c r="C105" s="9" t="s">
        <v>207</v>
      </c>
      <c r="D105" s="9" t="s">
        <v>64</v>
      </c>
      <c r="G105" s="35">
        <f>(0.00033+0.00023+0.000236)/3</f>
        <v>0.0002653333333333333</v>
      </c>
      <c r="H105" s="31" t="s">
        <v>34</v>
      </c>
      <c r="I105" s="35">
        <f>(0.000244+0.000024+0.0000251)/3</f>
        <v>9.77E-05</v>
      </c>
      <c r="J105" s="31"/>
      <c r="K105" s="35">
        <f>(0.000131+0.0002+0.000176)/3</f>
        <v>0.00016900000000000002</v>
      </c>
      <c r="M105" s="34"/>
    </row>
    <row r="106" spans="2:13" ht="12.75">
      <c r="B106" s="9" t="s">
        <v>63</v>
      </c>
      <c r="C106" s="9" t="s">
        <v>207</v>
      </c>
      <c r="D106" s="9" t="s">
        <v>23</v>
      </c>
      <c r="G106" s="31">
        <v>99.99991</v>
      </c>
      <c r="H106" s="31" t="s">
        <v>34</v>
      </c>
      <c r="I106" s="32">
        <v>99.99997</v>
      </c>
      <c r="J106" s="31"/>
      <c r="K106" s="31">
        <v>99.99994</v>
      </c>
      <c r="M106" s="34"/>
    </row>
    <row r="107" spans="2:13" ht="12.75">
      <c r="B107" s="9"/>
      <c r="C107" s="9"/>
      <c r="G107" s="31"/>
      <c r="H107" s="31"/>
      <c r="I107" s="32"/>
      <c r="J107" s="31"/>
      <c r="K107" s="31"/>
      <c r="M107" s="34"/>
    </row>
    <row r="108" spans="2:13" ht="12.75">
      <c r="B108" s="9" t="s">
        <v>96</v>
      </c>
      <c r="C108" s="9" t="s">
        <v>151</v>
      </c>
      <c r="G108" s="31"/>
      <c r="H108" s="31"/>
      <c r="I108" s="32"/>
      <c r="J108" s="31"/>
      <c r="K108" s="31"/>
      <c r="M108" s="34"/>
    </row>
    <row r="109" spans="2:11" ht="12.75">
      <c r="B109" s="9" t="s">
        <v>124</v>
      </c>
      <c r="C109" s="9"/>
      <c r="D109" s="9" t="s">
        <v>64</v>
      </c>
      <c r="G109" s="31">
        <v>582</v>
      </c>
      <c r="I109" s="32">
        <v>595</v>
      </c>
      <c r="K109" s="31">
        <v>627</v>
      </c>
    </row>
    <row r="110" spans="2:11" ht="12.75">
      <c r="B110" s="9" t="s">
        <v>149</v>
      </c>
      <c r="C110" s="9" t="s">
        <v>207</v>
      </c>
      <c r="D110" s="9" t="s">
        <v>64</v>
      </c>
      <c r="G110" s="36">
        <f>(0.0000302+0.0000488+0.0000407)/3</f>
        <v>3.99E-05</v>
      </c>
      <c r="I110" s="35">
        <f>(0.0000371+0.000056+0.0000446)/3</f>
        <v>4.59E-05</v>
      </c>
      <c r="K110" s="36">
        <f>(0.0000376+0.0000542+0.0000434)/3</f>
        <v>4.5066666666666667E-05</v>
      </c>
    </row>
    <row r="111" spans="2:11" ht="12.75">
      <c r="B111" s="9" t="s">
        <v>63</v>
      </c>
      <c r="C111" s="9" t="s">
        <v>207</v>
      </c>
      <c r="D111" s="9" t="s">
        <v>23</v>
      </c>
      <c r="G111" s="31">
        <v>99.99999</v>
      </c>
      <c r="I111" s="32">
        <v>99.99999</v>
      </c>
      <c r="K111" s="31">
        <v>99.99999</v>
      </c>
    </row>
    <row r="112" spans="2:13" ht="12.75">
      <c r="B112" s="9"/>
      <c r="C112" s="9"/>
      <c r="G112" s="31"/>
      <c r="H112" s="31"/>
      <c r="I112" s="32"/>
      <c r="J112" s="31"/>
      <c r="K112" s="31"/>
      <c r="M112" s="34"/>
    </row>
    <row r="113" spans="2:13" ht="12.75">
      <c r="B113" s="9" t="s">
        <v>111</v>
      </c>
      <c r="C113" s="9"/>
      <c r="D113" s="18" t="s">
        <v>77</v>
      </c>
      <c r="E113" s="9" t="s">
        <v>99</v>
      </c>
      <c r="F113" s="9" t="s">
        <v>34</v>
      </c>
      <c r="G113" s="31">
        <v>0.18</v>
      </c>
      <c r="H113" s="9" t="s">
        <v>34</v>
      </c>
      <c r="I113" s="32">
        <v>0.18</v>
      </c>
      <c r="J113" s="9" t="s">
        <v>34</v>
      </c>
      <c r="K113" s="31">
        <v>0.18</v>
      </c>
      <c r="M113" s="34"/>
    </row>
    <row r="114" spans="2:13" ht="12.75">
      <c r="B114" s="9" t="s">
        <v>113</v>
      </c>
      <c r="C114" s="9"/>
      <c r="D114" s="18" t="s">
        <v>77</v>
      </c>
      <c r="E114" s="9" t="s">
        <v>99</v>
      </c>
      <c r="F114" s="9" t="s">
        <v>34</v>
      </c>
      <c r="G114" s="31">
        <v>0.04</v>
      </c>
      <c r="H114" s="9" t="s">
        <v>34</v>
      </c>
      <c r="I114" s="32">
        <v>0.04</v>
      </c>
      <c r="J114" s="9" t="s">
        <v>34</v>
      </c>
      <c r="K114" s="31">
        <v>0.04</v>
      </c>
      <c r="L114" s="9"/>
      <c r="M114" s="34"/>
    </row>
    <row r="115" spans="2:13" ht="12.75">
      <c r="B115" s="9" t="s">
        <v>114</v>
      </c>
      <c r="C115" s="9"/>
      <c r="D115" s="18" t="s">
        <v>77</v>
      </c>
      <c r="E115" s="9" t="s">
        <v>99</v>
      </c>
      <c r="G115" s="31">
        <v>0.14</v>
      </c>
      <c r="H115" s="9"/>
      <c r="I115" s="32">
        <v>0.05</v>
      </c>
      <c r="J115" s="9"/>
      <c r="K115" s="31">
        <v>0.14</v>
      </c>
      <c r="L115" s="9"/>
      <c r="M115" s="34"/>
    </row>
    <row r="116" spans="2:13" ht="12.75">
      <c r="B116" s="9" t="s">
        <v>178</v>
      </c>
      <c r="C116" s="9"/>
      <c r="D116" s="18" t="s">
        <v>77</v>
      </c>
      <c r="E116" s="9" t="s">
        <v>99</v>
      </c>
      <c r="G116" s="11">
        <v>4.55</v>
      </c>
      <c r="H116" s="9"/>
      <c r="I116" s="11">
        <v>4.13</v>
      </c>
      <c r="J116" s="9"/>
      <c r="K116" s="31">
        <v>3.7</v>
      </c>
      <c r="L116" s="9"/>
      <c r="M116" s="34"/>
    </row>
    <row r="117" spans="2:13" ht="12.75">
      <c r="B117" s="9" t="s">
        <v>115</v>
      </c>
      <c r="C117" s="9"/>
      <c r="D117" s="18" t="s">
        <v>77</v>
      </c>
      <c r="E117" s="9" t="s">
        <v>99</v>
      </c>
      <c r="F117" s="9" t="s">
        <v>34</v>
      </c>
      <c r="G117" s="31">
        <v>0.37</v>
      </c>
      <c r="H117" s="9"/>
      <c r="I117" s="32">
        <v>0.03</v>
      </c>
      <c r="J117" s="9" t="s">
        <v>34</v>
      </c>
      <c r="K117" s="31">
        <v>0.42</v>
      </c>
      <c r="L117" s="9"/>
      <c r="M117" s="34"/>
    </row>
    <row r="118" spans="2:13" ht="12.75">
      <c r="B118" s="9" t="s">
        <v>110</v>
      </c>
      <c r="C118" s="9"/>
      <c r="D118" s="18" t="s">
        <v>77</v>
      </c>
      <c r="E118" s="9" t="s">
        <v>99</v>
      </c>
      <c r="F118" s="9" t="s">
        <v>34</v>
      </c>
      <c r="G118" s="31">
        <v>0.18</v>
      </c>
      <c r="H118" s="9" t="s">
        <v>34</v>
      </c>
      <c r="I118" s="32">
        <v>0.18</v>
      </c>
      <c r="J118" s="9" t="s">
        <v>34</v>
      </c>
      <c r="K118" s="31">
        <v>0.18</v>
      </c>
      <c r="L118" s="9"/>
      <c r="M118" s="34"/>
    </row>
    <row r="119" spans="2:13" ht="12.75">
      <c r="B119" s="9" t="s">
        <v>112</v>
      </c>
      <c r="C119" s="9"/>
      <c r="D119" s="18" t="s">
        <v>77</v>
      </c>
      <c r="E119" s="9" t="s">
        <v>99</v>
      </c>
      <c r="G119" s="31">
        <v>0.61</v>
      </c>
      <c r="H119" s="9"/>
      <c r="I119" s="32">
        <v>0.4</v>
      </c>
      <c r="J119" s="9"/>
      <c r="K119" s="31">
        <v>0.48</v>
      </c>
      <c r="L119" s="9"/>
      <c r="M119" s="34"/>
    </row>
    <row r="120" spans="2:13" ht="12.75">
      <c r="B120" s="9" t="s">
        <v>109</v>
      </c>
      <c r="C120" s="9"/>
      <c r="D120" s="18" t="s">
        <v>77</v>
      </c>
      <c r="E120" s="9" t="s">
        <v>99</v>
      </c>
      <c r="G120" s="31">
        <v>0.36</v>
      </c>
      <c r="H120" s="9"/>
      <c r="I120" s="32">
        <v>3.8</v>
      </c>
      <c r="J120" s="9"/>
      <c r="K120" s="31">
        <v>0.41</v>
      </c>
      <c r="L120" s="9"/>
      <c r="M120" s="34"/>
    </row>
    <row r="121" spans="2:13" ht="12.75">
      <c r="B121" s="9" t="s">
        <v>118</v>
      </c>
      <c r="C121" s="9"/>
      <c r="D121" s="18" t="s">
        <v>77</v>
      </c>
      <c r="E121" s="9" t="s">
        <v>99</v>
      </c>
      <c r="G121" s="31">
        <v>0.99</v>
      </c>
      <c r="H121" s="9"/>
      <c r="I121" s="32">
        <v>0.02</v>
      </c>
      <c r="J121" s="9"/>
      <c r="K121" s="31">
        <v>0.26</v>
      </c>
      <c r="L121" s="9"/>
      <c r="M121" s="34"/>
    </row>
    <row r="122" spans="2:13" ht="12.75">
      <c r="B122" s="9" t="s">
        <v>119</v>
      </c>
      <c r="C122" s="9"/>
      <c r="D122" s="18" t="s">
        <v>77</v>
      </c>
      <c r="E122" s="9" t="s">
        <v>99</v>
      </c>
      <c r="F122" s="9" t="s">
        <v>34</v>
      </c>
      <c r="G122" s="31">
        <v>0.22</v>
      </c>
      <c r="H122" s="9" t="s">
        <v>34</v>
      </c>
      <c r="I122" s="32">
        <v>0.22</v>
      </c>
      <c r="J122" s="9" t="s">
        <v>34</v>
      </c>
      <c r="K122" s="31">
        <v>0.22</v>
      </c>
      <c r="L122" s="9"/>
      <c r="M122" s="34"/>
    </row>
    <row r="123" spans="2:13" ht="12.75">
      <c r="B123" s="9" t="s">
        <v>116</v>
      </c>
      <c r="C123" s="9"/>
      <c r="D123" s="18" t="s">
        <v>77</v>
      </c>
      <c r="E123" s="9" t="s">
        <v>99</v>
      </c>
      <c r="G123" s="31">
        <v>24.86</v>
      </c>
      <c r="H123" s="9"/>
      <c r="I123" s="32">
        <v>20.14</v>
      </c>
      <c r="J123" s="9"/>
      <c r="K123" s="31">
        <v>20.17</v>
      </c>
      <c r="L123" s="9"/>
      <c r="M123" s="34"/>
    </row>
    <row r="124" spans="2:13" ht="12.75">
      <c r="B124" s="9" t="s">
        <v>117</v>
      </c>
      <c r="C124" s="9"/>
      <c r="D124" s="18" t="s">
        <v>77</v>
      </c>
      <c r="E124" s="9" t="s">
        <v>99</v>
      </c>
      <c r="F124" s="9" t="s">
        <v>34</v>
      </c>
      <c r="G124" s="31">
        <v>0.44</v>
      </c>
      <c r="H124" s="9" t="s">
        <v>34</v>
      </c>
      <c r="I124" s="32">
        <v>0.44</v>
      </c>
      <c r="J124" s="9" t="s">
        <v>34</v>
      </c>
      <c r="K124" s="31">
        <v>0.44</v>
      </c>
      <c r="L124" s="9"/>
      <c r="M124" s="34"/>
    </row>
    <row r="125" spans="2:13" ht="12.75">
      <c r="B125" s="9"/>
      <c r="C125" s="9"/>
      <c r="D125" s="18"/>
      <c r="H125" s="31"/>
      <c r="I125" s="23"/>
      <c r="J125" s="31"/>
      <c r="M125" s="34"/>
    </row>
    <row r="126" spans="2:13" ht="12.75">
      <c r="B126" s="9"/>
      <c r="C126" s="9"/>
      <c r="G126" s="31"/>
      <c r="H126" s="31"/>
      <c r="I126" s="32"/>
      <c r="J126" s="31"/>
      <c r="K126" s="31"/>
      <c r="L126" s="25"/>
      <c r="M126" s="33"/>
    </row>
    <row r="127" spans="2:13" ht="12.75">
      <c r="B127" s="9" t="s">
        <v>128</v>
      </c>
      <c r="C127" s="9" t="s">
        <v>122</v>
      </c>
      <c r="D127" s="9" t="s">
        <v>205</v>
      </c>
      <c r="L127" s="25"/>
      <c r="M127" s="34"/>
    </row>
    <row r="128" spans="2:13" ht="12.75">
      <c r="B128" s="9" t="s">
        <v>108</v>
      </c>
      <c r="C128" s="9"/>
      <c r="D128" s="9" t="s">
        <v>22</v>
      </c>
      <c r="G128" s="31">
        <v>13630</v>
      </c>
      <c r="H128" s="31"/>
      <c r="I128" s="32">
        <v>13565</v>
      </c>
      <c r="J128" s="12"/>
      <c r="K128" s="31">
        <v>13551</v>
      </c>
      <c r="L128" s="25"/>
      <c r="M128" s="33">
        <v>13582</v>
      </c>
    </row>
    <row r="129" spans="2:13" ht="12.75">
      <c r="B129" s="9" t="s">
        <v>125</v>
      </c>
      <c r="C129" s="9"/>
      <c r="D129" s="9" t="s">
        <v>23</v>
      </c>
      <c r="G129" s="31">
        <v>8.35</v>
      </c>
      <c r="H129" s="31"/>
      <c r="I129" s="32">
        <v>8.38</v>
      </c>
      <c r="J129" s="31"/>
      <c r="K129" s="31">
        <v>8.39</v>
      </c>
      <c r="M129" s="30">
        <v>8.37</v>
      </c>
    </row>
    <row r="130" spans="2:13" ht="12.75">
      <c r="B130" s="9" t="s">
        <v>126</v>
      </c>
      <c r="C130" s="9"/>
      <c r="D130" s="9" t="s">
        <v>23</v>
      </c>
      <c r="G130" s="31">
        <v>19.6</v>
      </c>
      <c r="H130" s="31"/>
      <c r="I130" s="32">
        <v>19.6</v>
      </c>
      <c r="J130" s="31"/>
      <c r="K130" s="31">
        <v>20.1</v>
      </c>
      <c r="M130" s="34">
        <v>19.8</v>
      </c>
    </row>
    <row r="131" spans="2:13" ht="12.75">
      <c r="B131" s="9" t="s">
        <v>107</v>
      </c>
      <c r="C131" s="9"/>
      <c r="D131" s="9" t="s">
        <v>24</v>
      </c>
      <c r="G131" s="31">
        <v>141</v>
      </c>
      <c r="H131" s="31"/>
      <c r="I131" s="32">
        <v>141</v>
      </c>
      <c r="J131" s="31"/>
      <c r="K131" s="31">
        <v>142</v>
      </c>
      <c r="M131" s="34">
        <v>141</v>
      </c>
    </row>
    <row r="132" spans="2:13" ht="12.75">
      <c r="B132" s="9"/>
      <c r="C132" s="9"/>
      <c r="G132" s="31"/>
      <c r="H132" s="31"/>
      <c r="I132" s="32"/>
      <c r="J132" s="31"/>
      <c r="K132" s="31"/>
      <c r="M132" s="34"/>
    </row>
    <row r="133" spans="2:13" ht="12.75">
      <c r="B133" s="9" t="s">
        <v>128</v>
      </c>
      <c r="C133" s="9" t="s">
        <v>156</v>
      </c>
      <c r="D133" s="9" t="s">
        <v>206</v>
      </c>
      <c r="G133" s="31"/>
      <c r="H133" s="31"/>
      <c r="I133" s="32"/>
      <c r="J133" s="31"/>
      <c r="K133" s="31"/>
      <c r="M133" s="34"/>
    </row>
    <row r="134" spans="2:13" ht="12.75">
      <c r="B134" s="9" t="s">
        <v>108</v>
      </c>
      <c r="C134" s="9"/>
      <c r="D134" s="9" t="s">
        <v>22</v>
      </c>
      <c r="G134" s="31">
        <v>13991</v>
      </c>
      <c r="H134" s="31"/>
      <c r="I134" s="32">
        <v>13882</v>
      </c>
      <c r="J134" s="31"/>
      <c r="K134" s="31">
        <v>13684</v>
      </c>
      <c r="M134" s="33">
        <v>13852</v>
      </c>
    </row>
    <row r="135" spans="2:13" ht="12.75">
      <c r="B135" s="9" t="s">
        <v>125</v>
      </c>
      <c r="C135" s="9"/>
      <c r="D135" s="9" t="s">
        <v>23</v>
      </c>
      <c r="G135" s="31">
        <v>8.35</v>
      </c>
      <c r="H135" s="31"/>
      <c r="I135" s="32">
        <v>8.38</v>
      </c>
      <c r="J135" s="31"/>
      <c r="K135" s="31">
        <v>8.39</v>
      </c>
      <c r="M135" s="34">
        <v>8.37</v>
      </c>
    </row>
    <row r="136" spans="2:13" ht="12.75">
      <c r="B136" s="9" t="s">
        <v>126</v>
      </c>
      <c r="C136" s="9"/>
      <c r="D136" s="9" t="s">
        <v>23</v>
      </c>
      <c r="G136" s="11">
        <v>20.6</v>
      </c>
      <c r="H136" s="31"/>
      <c r="I136" s="32">
        <v>20.6</v>
      </c>
      <c r="J136" s="31"/>
      <c r="K136" s="31">
        <v>21.2</v>
      </c>
      <c r="L136" s="31"/>
      <c r="M136" s="30">
        <v>20.8</v>
      </c>
    </row>
    <row r="137" spans="2:13" ht="12.75">
      <c r="B137" s="9" t="s">
        <v>107</v>
      </c>
      <c r="C137" s="9"/>
      <c r="D137" s="9" t="s">
        <v>24</v>
      </c>
      <c r="G137" s="12">
        <v>142</v>
      </c>
      <c r="H137" s="12"/>
      <c r="I137" s="12">
        <v>143</v>
      </c>
      <c r="J137" s="12"/>
      <c r="K137" s="12">
        <v>143</v>
      </c>
      <c r="L137" s="12"/>
      <c r="M137" s="33">
        <v>143</v>
      </c>
    </row>
    <row r="138" spans="2:13" ht="12.75">
      <c r="B138" s="9"/>
      <c r="C138" s="9"/>
      <c r="G138" s="12"/>
      <c r="H138" s="12"/>
      <c r="I138" s="12"/>
      <c r="J138" s="12"/>
      <c r="K138" s="12"/>
      <c r="L138" s="12"/>
      <c r="M138" s="33"/>
    </row>
    <row r="139" spans="2:13" ht="12.75">
      <c r="B139" s="9" t="s">
        <v>128</v>
      </c>
      <c r="C139" s="9" t="s">
        <v>153</v>
      </c>
      <c r="D139" s="9" t="s">
        <v>207</v>
      </c>
      <c r="G139" s="31"/>
      <c r="H139" s="31"/>
      <c r="I139" s="32"/>
      <c r="J139" s="31"/>
      <c r="K139" s="31"/>
      <c r="M139" s="34"/>
    </row>
    <row r="140" spans="2:13" ht="12.75">
      <c r="B140" s="9" t="s">
        <v>108</v>
      </c>
      <c r="C140" s="9"/>
      <c r="D140" s="9" t="s">
        <v>22</v>
      </c>
      <c r="G140" s="31">
        <v>13751</v>
      </c>
      <c r="H140" s="31"/>
      <c r="I140" s="32">
        <v>13552</v>
      </c>
      <c r="J140" s="31"/>
      <c r="K140" s="31">
        <v>13400</v>
      </c>
      <c r="M140" s="33"/>
    </row>
    <row r="141" spans="2:13" ht="12.75">
      <c r="B141" s="9" t="s">
        <v>125</v>
      </c>
      <c r="C141" s="9"/>
      <c r="D141" s="9" t="s">
        <v>23</v>
      </c>
      <c r="G141" s="31"/>
      <c r="H141" s="31"/>
      <c r="I141" s="32"/>
      <c r="J141" s="31"/>
      <c r="K141" s="31"/>
      <c r="M141" s="34"/>
    </row>
    <row r="142" spans="2:13" ht="12.75">
      <c r="B142" s="9" t="s">
        <v>126</v>
      </c>
      <c r="C142" s="9"/>
      <c r="D142" s="9" t="s">
        <v>23</v>
      </c>
      <c r="G142" s="31"/>
      <c r="H142" s="31"/>
      <c r="I142" s="32"/>
      <c r="J142" s="31"/>
      <c r="K142" s="31"/>
      <c r="M142" s="34"/>
    </row>
    <row r="143" spans="2:13" ht="12.75">
      <c r="B143" s="9" t="s">
        <v>107</v>
      </c>
      <c r="C143" s="9"/>
      <c r="D143" s="9" t="s">
        <v>24</v>
      </c>
      <c r="G143" s="31"/>
      <c r="H143" s="31"/>
      <c r="I143" s="32"/>
      <c r="J143" s="31"/>
      <c r="K143" s="31"/>
      <c r="M143" s="34"/>
    </row>
    <row r="144" spans="2:13" ht="12.75">
      <c r="B144" s="9"/>
      <c r="C144" s="9"/>
      <c r="G144" s="31"/>
      <c r="H144" s="31"/>
      <c r="I144" s="32"/>
      <c r="J144" s="31"/>
      <c r="K144" s="31"/>
      <c r="M144" s="34"/>
    </row>
    <row r="145" spans="2:13" ht="12.75">
      <c r="B145" s="9" t="s">
        <v>128</v>
      </c>
      <c r="C145" s="9" t="s">
        <v>154</v>
      </c>
      <c r="D145" s="9" t="s">
        <v>208</v>
      </c>
      <c r="G145" s="31"/>
      <c r="H145" s="31"/>
      <c r="I145" s="32"/>
      <c r="J145" s="31"/>
      <c r="K145" s="31"/>
      <c r="M145" s="34"/>
    </row>
    <row r="146" spans="2:13" ht="12.75">
      <c r="B146" s="9" t="s">
        <v>108</v>
      </c>
      <c r="C146" s="9"/>
      <c r="D146" s="9" t="s">
        <v>22</v>
      </c>
      <c r="G146" s="31">
        <v>13751</v>
      </c>
      <c r="H146" s="31"/>
      <c r="I146" s="32">
        <v>13552</v>
      </c>
      <c r="J146" s="31"/>
      <c r="K146" s="31">
        <v>13400</v>
      </c>
      <c r="M146" s="33"/>
    </row>
    <row r="147" spans="2:13" ht="12.75">
      <c r="B147" s="9" t="s">
        <v>125</v>
      </c>
      <c r="C147" s="9"/>
      <c r="D147" s="9" t="s">
        <v>23</v>
      </c>
      <c r="G147" s="23">
        <v>8.4</v>
      </c>
      <c r="I147" s="23">
        <v>8.4</v>
      </c>
      <c r="K147" s="23">
        <v>8.4</v>
      </c>
      <c r="M147" s="34"/>
    </row>
    <row r="148" spans="2:13" ht="12.75">
      <c r="B148" s="9" t="s">
        <v>126</v>
      </c>
      <c r="C148" s="9"/>
      <c r="D148" s="9" t="s">
        <v>23</v>
      </c>
      <c r="G148" s="31">
        <v>18.8</v>
      </c>
      <c r="H148" s="31"/>
      <c r="I148" s="32">
        <v>19.4</v>
      </c>
      <c r="J148" s="31"/>
      <c r="K148" s="31">
        <v>19.9</v>
      </c>
      <c r="M148" s="34"/>
    </row>
    <row r="149" spans="2:13" ht="12.75">
      <c r="B149" s="9" t="s">
        <v>107</v>
      </c>
      <c r="C149" s="9"/>
      <c r="D149" s="9" t="s">
        <v>24</v>
      </c>
      <c r="G149" s="31"/>
      <c r="H149" s="31"/>
      <c r="I149" s="32"/>
      <c r="J149" s="31"/>
      <c r="K149" s="31"/>
      <c r="M149" s="34"/>
    </row>
    <row r="150" spans="2:13" ht="12.75">
      <c r="B150" s="9"/>
      <c r="C150" s="9"/>
      <c r="G150" s="31"/>
      <c r="H150" s="31"/>
      <c r="I150" s="32"/>
      <c r="J150" s="31"/>
      <c r="K150" s="31"/>
      <c r="M150" s="34"/>
    </row>
    <row r="151" spans="2:13" ht="12.75">
      <c r="B151" s="9" t="s">
        <v>61</v>
      </c>
      <c r="C151" s="9" t="s">
        <v>205</v>
      </c>
      <c r="D151" s="9" t="s">
        <v>21</v>
      </c>
      <c r="E151" s="9" t="s">
        <v>20</v>
      </c>
      <c r="G151" s="10">
        <f>G100*(21-7)/(21-G$129)</f>
        <v>37.00869565217391</v>
      </c>
      <c r="H151" s="10"/>
      <c r="I151" s="10">
        <f>I100*(21-7)/(21-I$129)</f>
        <v>5.025356576862124</v>
      </c>
      <c r="J151" s="10"/>
      <c r="K151" s="10">
        <f>K100*(21-7)/(21-K$129)</f>
        <v>4.3298969072164954</v>
      </c>
      <c r="L151" s="10"/>
      <c r="M151" s="11">
        <f>AVERAGE(G151,I151,K151)</f>
        <v>15.454649712084176</v>
      </c>
    </row>
    <row r="152" spans="2:13" ht="12.75">
      <c r="B152" s="9" t="s">
        <v>62</v>
      </c>
      <c r="C152" s="9" t="s">
        <v>205</v>
      </c>
      <c r="D152" s="9" t="s">
        <v>21</v>
      </c>
      <c r="E152" s="9" t="s">
        <v>20</v>
      </c>
      <c r="G152" s="10">
        <f>G101*(21-7)/(21-G$129)</f>
        <v>15.494071146245059</v>
      </c>
      <c r="H152" s="10"/>
      <c r="I152" s="10">
        <f>I101*(21-7)/(21-I$129)</f>
        <v>19.014263074484948</v>
      </c>
      <c r="J152" s="10"/>
      <c r="K152" s="10">
        <f>K101*(21-7)/(21-K$129)</f>
        <v>19.639968279143538</v>
      </c>
      <c r="L152" s="10"/>
      <c r="M152" s="11">
        <f>AVERAGE(G152,I152,K152)</f>
        <v>18.049434166624515</v>
      </c>
    </row>
    <row r="153" spans="2:13" ht="12.75">
      <c r="B153" s="9" t="s">
        <v>127</v>
      </c>
      <c r="C153" s="9" t="s">
        <v>205</v>
      </c>
      <c r="D153" s="9" t="s">
        <v>21</v>
      </c>
      <c r="E153" s="9" t="s">
        <v>20</v>
      </c>
      <c r="G153" s="11">
        <f>G151+2*G152</f>
        <v>67.99683794466404</v>
      </c>
      <c r="H153" s="11"/>
      <c r="I153" s="11">
        <f>I151+2*I152</f>
        <v>43.05388272583202</v>
      </c>
      <c r="J153" s="11"/>
      <c r="K153" s="11">
        <f>K151+2*K152</f>
        <v>43.60983346550357</v>
      </c>
      <c r="L153" s="11"/>
      <c r="M153" s="11">
        <f>AVERAGE(G153,I153,K153)</f>
        <v>51.55351804533321</v>
      </c>
    </row>
    <row r="154" spans="2:13" ht="12.75">
      <c r="B154" s="9"/>
      <c r="C154" s="9"/>
      <c r="G154" s="31"/>
      <c r="H154" s="31"/>
      <c r="I154" s="32"/>
      <c r="J154" s="31"/>
      <c r="K154" s="31"/>
      <c r="L154" s="25"/>
      <c r="M154" s="33"/>
    </row>
    <row r="155" spans="2:15" ht="12.75">
      <c r="B155" s="9" t="s">
        <v>111</v>
      </c>
      <c r="C155" s="9" t="s">
        <v>206</v>
      </c>
      <c r="D155" s="18" t="s">
        <v>77</v>
      </c>
      <c r="E155" s="9" t="s">
        <v>20</v>
      </c>
      <c r="G155" s="11">
        <f aca="true" t="shared" si="0" ref="G155:G166">G113*(21-7)/(21-G$135)</f>
        <v>0.1992094861660079</v>
      </c>
      <c r="H155" s="12"/>
      <c r="I155" s="11">
        <f aca="true" t="shared" si="1" ref="I155:I166">I113*(21-7)/(21-I$135)</f>
        <v>0.19968304278922347</v>
      </c>
      <c r="J155" s="12"/>
      <c r="K155" s="11">
        <f aca="true" t="shared" si="2" ref="K155:K166">K113*(21-7)/(21-K$135)</f>
        <v>0.1998413957176844</v>
      </c>
      <c r="L155" s="12"/>
      <c r="M155" s="11">
        <f aca="true" t="shared" si="3" ref="M155:M168">AVERAGE(G155,I155,K155)</f>
        <v>0.19957797489097193</v>
      </c>
      <c r="O155" s="34"/>
    </row>
    <row r="156" spans="2:15" ht="12.75">
      <c r="B156" s="9" t="s">
        <v>113</v>
      </c>
      <c r="C156" s="9" t="s">
        <v>206</v>
      </c>
      <c r="D156" s="18" t="s">
        <v>77</v>
      </c>
      <c r="E156" s="9" t="s">
        <v>20</v>
      </c>
      <c r="F156" s="9" t="s">
        <v>34</v>
      </c>
      <c r="G156" s="11">
        <f t="shared" si="0"/>
        <v>0.04426877470355731</v>
      </c>
      <c r="H156" s="9" t="s">
        <v>34</v>
      </c>
      <c r="I156" s="11">
        <f t="shared" si="1"/>
        <v>0.04437400950871633</v>
      </c>
      <c r="J156" s="9" t="s">
        <v>34</v>
      </c>
      <c r="K156" s="11">
        <f t="shared" si="2"/>
        <v>0.044409199048374315</v>
      </c>
      <c r="L156" s="9">
        <v>100</v>
      </c>
      <c r="M156" s="11">
        <f t="shared" si="3"/>
        <v>0.04435066108688265</v>
      </c>
      <c r="O156" s="34"/>
    </row>
    <row r="157" spans="2:15" ht="12.75">
      <c r="B157" s="9" t="s">
        <v>114</v>
      </c>
      <c r="C157" s="9" t="s">
        <v>206</v>
      </c>
      <c r="D157" s="18" t="s">
        <v>77</v>
      </c>
      <c r="E157" s="9" t="s">
        <v>20</v>
      </c>
      <c r="F157" s="9" t="s">
        <v>34</v>
      </c>
      <c r="G157" s="11">
        <f t="shared" si="0"/>
        <v>0.15494071146245061</v>
      </c>
      <c r="H157" s="9" t="s">
        <v>34</v>
      </c>
      <c r="I157" s="11">
        <f t="shared" si="1"/>
        <v>0.05546751188589541</v>
      </c>
      <c r="J157" s="9" t="s">
        <v>34</v>
      </c>
      <c r="K157" s="11">
        <f t="shared" si="2"/>
        <v>0.1554321966693101</v>
      </c>
      <c r="L157" s="9">
        <v>100</v>
      </c>
      <c r="M157" s="11">
        <f t="shared" si="3"/>
        <v>0.12194680667255205</v>
      </c>
      <c r="O157" s="34"/>
    </row>
    <row r="158" spans="2:15" ht="12.75">
      <c r="B158" s="9" t="s">
        <v>178</v>
      </c>
      <c r="C158" s="9" t="s">
        <v>206</v>
      </c>
      <c r="D158" s="18" t="s">
        <v>77</v>
      </c>
      <c r="E158" s="9" t="s">
        <v>20</v>
      </c>
      <c r="G158" s="11">
        <f t="shared" si="0"/>
        <v>5.035573122529644</v>
      </c>
      <c r="H158" s="9"/>
      <c r="I158" s="11">
        <f t="shared" si="1"/>
        <v>4.581616481774961</v>
      </c>
      <c r="J158" s="9"/>
      <c r="K158" s="11">
        <f t="shared" si="2"/>
        <v>4.107850911974624</v>
      </c>
      <c r="L158" s="9"/>
      <c r="M158" s="11">
        <f t="shared" si="3"/>
        <v>4.575013505426409</v>
      </c>
      <c r="O158" s="34"/>
    </row>
    <row r="159" spans="2:15" ht="12.75">
      <c r="B159" s="9" t="s">
        <v>115</v>
      </c>
      <c r="C159" s="9" t="s">
        <v>206</v>
      </c>
      <c r="D159" s="18" t="s">
        <v>77</v>
      </c>
      <c r="E159" s="9" t="s">
        <v>20</v>
      </c>
      <c r="G159" s="11">
        <f t="shared" si="0"/>
        <v>0.4094861660079051</v>
      </c>
      <c r="H159" s="9"/>
      <c r="I159" s="11">
        <f t="shared" si="1"/>
        <v>0.03328050713153724</v>
      </c>
      <c r="J159" s="9"/>
      <c r="K159" s="11">
        <f t="shared" si="2"/>
        <v>0.4662965900079302</v>
      </c>
      <c r="L159" s="9"/>
      <c r="M159" s="11">
        <f t="shared" si="3"/>
        <v>0.30302108771579084</v>
      </c>
      <c r="O159" s="34"/>
    </row>
    <row r="160" spans="2:15" ht="12.75">
      <c r="B160" s="9" t="s">
        <v>110</v>
      </c>
      <c r="C160" s="9" t="s">
        <v>206</v>
      </c>
      <c r="D160" s="18" t="s">
        <v>77</v>
      </c>
      <c r="E160" s="9" t="s">
        <v>20</v>
      </c>
      <c r="F160" s="9" t="s">
        <v>34</v>
      </c>
      <c r="G160" s="11">
        <f t="shared" si="0"/>
        <v>0.1992094861660079</v>
      </c>
      <c r="H160" s="9" t="s">
        <v>34</v>
      </c>
      <c r="I160" s="11">
        <f t="shared" si="1"/>
        <v>0.19968304278922347</v>
      </c>
      <c r="J160" s="9" t="s">
        <v>34</v>
      </c>
      <c r="K160" s="11">
        <f t="shared" si="2"/>
        <v>0.1998413957176844</v>
      </c>
      <c r="L160" s="9">
        <v>100</v>
      </c>
      <c r="M160" s="11">
        <f t="shared" si="3"/>
        <v>0.19957797489097193</v>
      </c>
      <c r="O160" s="34"/>
    </row>
    <row r="161" spans="2:15" ht="12.75">
      <c r="B161" s="9" t="s">
        <v>112</v>
      </c>
      <c r="C161" s="9" t="s">
        <v>206</v>
      </c>
      <c r="D161" s="18" t="s">
        <v>77</v>
      </c>
      <c r="E161" s="9" t="s">
        <v>20</v>
      </c>
      <c r="G161" s="11">
        <f t="shared" si="0"/>
        <v>0.6750988142292489</v>
      </c>
      <c r="H161" s="9"/>
      <c r="I161" s="11">
        <f t="shared" si="1"/>
        <v>0.4437400950871633</v>
      </c>
      <c r="J161" s="9"/>
      <c r="K161" s="11">
        <f t="shared" si="2"/>
        <v>0.5329103885804917</v>
      </c>
      <c r="L161" s="9"/>
      <c r="M161" s="11">
        <f t="shared" si="3"/>
        <v>0.5505830992989679</v>
      </c>
      <c r="O161" s="34"/>
    </row>
    <row r="162" spans="2:15" ht="12.75">
      <c r="B162" s="9" t="s">
        <v>109</v>
      </c>
      <c r="C162" s="9" t="s">
        <v>206</v>
      </c>
      <c r="D162" s="18" t="s">
        <v>77</v>
      </c>
      <c r="E162" s="9" t="s">
        <v>20</v>
      </c>
      <c r="G162" s="11">
        <f t="shared" si="0"/>
        <v>0.3984189723320158</v>
      </c>
      <c r="H162" s="9" t="s">
        <v>34</v>
      </c>
      <c r="I162" s="11">
        <f t="shared" si="1"/>
        <v>4.215530903328051</v>
      </c>
      <c r="J162" s="9" t="s">
        <v>34</v>
      </c>
      <c r="K162" s="11">
        <f t="shared" si="2"/>
        <v>0.45519429024583663</v>
      </c>
      <c r="L162" s="9">
        <f>(I162+K162)/(3*M162)*100</f>
        <v>92.14031088301441</v>
      </c>
      <c r="M162" s="11">
        <f t="shared" si="3"/>
        <v>1.6897147219686346</v>
      </c>
      <c r="O162" s="34"/>
    </row>
    <row r="163" spans="2:15" ht="12.75">
      <c r="B163" s="9" t="s">
        <v>118</v>
      </c>
      <c r="C163" s="9" t="s">
        <v>206</v>
      </c>
      <c r="D163" s="18" t="s">
        <v>77</v>
      </c>
      <c r="E163" s="9" t="s">
        <v>20</v>
      </c>
      <c r="F163" s="9" t="s">
        <v>34</v>
      </c>
      <c r="G163" s="11">
        <f t="shared" si="0"/>
        <v>1.0956521739130434</v>
      </c>
      <c r="H163" s="9" t="s">
        <v>34</v>
      </c>
      <c r="I163" s="11">
        <f t="shared" si="1"/>
        <v>0.022187004754358166</v>
      </c>
      <c r="J163" s="9" t="s">
        <v>34</v>
      </c>
      <c r="K163" s="11">
        <f t="shared" si="2"/>
        <v>0.288659793814433</v>
      </c>
      <c r="L163" s="9">
        <v>100</v>
      </c>
      <c r="M163" s="11">
        <f t="shared" si="3"/>
        <v>0.4688329908272782</v>
      </c>
      <c r="O163" s="34"/>
    </row>
    <row r="164" spans="2:15" ht="12.75">
      <c r="B164" s="9" t="s">
        <v>119</v>
      </c>
      <c r="C164" s="9" t="s">
        <v>206</v>
      </c>
      <c r="D164" s="18" t="s">
        <v>77</v>
      </c>
      <c r="E164" s="9" t="s">
        <v>20</v>
      </c>
      <c r="G164" s="11">
        <f t="shared" si="0"/>
        <v>0.24347826086956523</v>
      </c>
      <c r="H164" s="9"/>
      <c r="I164" s="11">
        <f t="shared" si="1"/>
        <v>0.2440570522979398</v>
      </c>
      <c r="J164" s="9"/>
      <c r="K164" s="11">
        <f t="shared" si="2"/>
        <v>0.2442505947660587</v>
      </c>
      <c r="L164" s="9"/>
      <c r="M164" s="11">
        <f t="shared" si="3"/>
        <v>0.2439286359778546</v>
      </c>
      <c r="O164" s="34"/>
    </row>
    <row r="165" spans="2:15" ht="12.75">
      <c r="B165" s="9" t="s">
        <v>116</v>
      </c>
      <c r="C165" s="9" t="s">
        <v>206</v>
      </c>
      <c r="D165" s="18" t="s">
        <v>77</v>
      </c>
      <c r="E165" s="9" t="s">
        <v>20</v>
      </c>
      <c r="F165" s="9" t="s">
        <v>34</v>
      </c>
      <c r="G165" s="11">
        <f t="shared" si="0"/>
        <v>27.513043478260865</v>
      </c>
      <c r="H165" s="9" t="s">
        <v>34</v>
      </c>
      <c r="I165" s="11">
        <f t="shared" si="1"/>
        <v>22.342313787638673</v>
      </c>
      <c r="J165" s="9" t="s">
        <v>34</v>
      </c>
      <c r="K165" s="11">
        <f t="shared" si="2"/>
        <v>22.393338620142746</v>
      </c>
      <c r="L165" s="9">
        <v>100</v>
      </c>
      <c r="M165" s="11">
        <f t="shared" si="3"/>
        <v>24.082898628680763</v>
      </c>
      <c r="O165" s="34"/>
    </row>
    <row r="166" spans="2:15" ht="12.75">
      <c r="B166" s="9" t="s">
        <v>117</v>
      </c>
      <c r="C166" s="9" t="s">
        <v>206</v>
      </c>
      <c r="D166" s="18" t="s">
        <v>77</v>
      </c>
      <c r="E166" s="9" t="s">
        <v>20</v>
      </c>
      <c r="G166" s="11">
        <f t="shared" si="0"/>
        <v>0.48695652173913045</v>
      </c>
      <c r="H166" s="9" t="s">
        <v>34</v>
      </c>
      <c r="I166" s="11">
        <f t="shared" si="1"/>
        <v>0.4881141045958796</v>
      </c>
      <c r="J166" s="9" t="s">
        <v>34</v>
      </c>
      <c r="K166" s="11">
        <f t="shared" si="2"/>
        <v>0.4885011895321174</v>
      </c>
      <c r="L166" s="9"/>
      <c r="M166" s="11">
        <f t="shared" si="3"/>
        <v>0.4878572719557092</v>
      </c>
      <c r="O166" s="34"/>
    </row>
    <row r="167" spans="2:15" ht="12.75">
      <c r="B167" s="9" t="s">
        <v>78</v>
      </c>
      <c r="C167" s="9" t="s">
        <v>206</v>
      </c>
      <c r="D167" s="18" t="s">
        <v>77</v>
      </c>
      <c r="E167" s="9" t="s">
        <v>20</v>
      </c>
      <c r="F167" s="9">
        <f>(G157)/G167*100</f>
        <v>28.000000000000004</v>
      </c>
      <c r="G167" s="11">
        <f>G162+G157</f>
        <v>0.5533596837944664</v>
      </c>
      <c r="H167" s="9">
        <v>100</v>
      </c>
      <c r="I167" s="11">
        <f>I162+I157</f>
        <v>4.270998415213946</v>
      </c>
      <c r="J167" s="9">
        <v>100</v>
      </c>
      <c r="K167" s="11">
        <f>K162+K157</f>
        <v>0.6106264869151468</v>
      </c>
      <c r="L167" s="9">
        <f>(F167*G167+H167*I167+J167*K167)/(3*M167)</f>
        <v>92.6693633434783</v>
      </c>
      <c r="M167" s="11">
        <f t="shared" si="3"/>
        <v>1.8116615286411868</v>
      </c>
      <c r="O167" s="34"/>
    </row>
    <row r="168" spans="2:15" ht="12.75">
      <c r="B168" s="9" t="s">
        <v>79</v>
      </c>
      <c r="C168" s="9" t="s">
        <v>206</v>
      </c>
      <c r="D168" s="18" t="s">
        <v>77</v>
      </c>
      <c r="E168" s="9" t="s">
        <v>20</v>
      </c>
      <c r="F168" s="70">
        <f>G156/G168*100</f>
        <v>0.8385744234800839</v>
      </c>
      <c r="G168" s="11">
        <f>G155+G156+G158</f>
        <v>5.279051383399209</v>
      </c>
      <c r="H168" s="9">
        <f>I156/I168*100</f>
        <v>0.9195402298850577</v>
      </c>
      <c r="I168" s="11">
        <f>I155+I156+I158</f>
        <v>4.825673534072901</v>
      </c>
      <c r="J168" s="9">
        <f>K156/K168*100</f>
        <v>1.0204081632653061</v>
      </c>
      <c r="K168" s="11">
        <f>K155+K156+K158</f>
        <v>4.3521015067406825</v>
      </c>
      <c r="L168" s="70">
        <f>(F168*G168+H168*I168+J168*K168)/(3*M168)</f>
        <v>0.920340186403621</v>
      </c>
      <c r="M168" s="11">
        <f t="shared" si="3"/>
        <v>4.818942141404264</v>
      </c>
      <c r="O168" s="34"/>
    </row>
    <row r="169" spans="2:13" ht="12.75">
      <c r="B169" s="9"/>
      <c r="C169" s="9"/>
      <c r="G169" s="31"/>
      <c r="H169" s="31"/>
      <c r="I169" s="32"/>
      <c r="J169" s="31"/>
      <c r="K169" s="31"/>
      <c r="M169" s="34"/>
    </row>
    <row r="170" spans="2:13" ht="12.75">
      <c r="B170" s="27" t="s">
        <v>191</v>
      </c>
      <c r="C170" s="27" t="s">
        <v>130</v>
      </c>
      <c r="G170" s="25" t="s">
        <v>223</v>
      </c>
      <c r="H170" s="25"/>
      <c r="I170" s="26" t="s">
        <v>224</v>
      </c>
      <c r="J170" s="25"/>
      <c r="K170" s="25" t="s">
        <v>225</v>
      </c>
      <c r="L170" s="25"/>
      <c r="M170" s="25" t="s">
        <v>226</v>
      </c>
    </row>
    <row r="171" spans="2:13" ht="12.75">
      <c r="B171" s="27"/>
      <c r="C171" s="27"/>
      <c r="G171" s="31"/>
      <c r="H171" s="31"/>
      <c r="I171" s="32"/>
      <c r="J171" s="31"/>
      <c r="K171" s="31"/>
      <c r="M171" s="34"/>
    </row>
    <row r="172" spans="2:13" ht="12.75">
      <c r="B172" s="9" t="s">
        <v>175</v>
      </c>
      <c r="C172" s="9" t="s">
        <v>205</v>
      </c>
      <c r="D172" s="9" t="s">
        <v>21</v>
      </c>
      <c r="E172" s="9" t="s">
        <v>20</v>
      </c>
      <c r="G172" s="31">
        <v>0.75</v>
      </c>
      <c r="H172" s="31"/>
      <c r="I172" s="32">
        <v>1.38</v>
      </c>
      <c r="J172" s="31"/>
      <c r="K172" s="31">
        <v>0.54</v>
      </c>
      <c r="M172" s="11">
        <f>AVERAGE(G172,I172,K172)</f>
        <v>0.89</v>
      </c>
    </row>
    <row r="173" spans="2:13" ht="12.75">
      <c r="B173" s="9" t="s">
        <v>176</v>
      </c>
      <c r="C173" s="9" t="s">
        <v>205</v>
      </c>
      <c r="D173" s="9" t="s">
        <v>21</v>
      </c>
      <c r="E173" s="9" t="s">
        <v>20</v>
      </c>
      <c r="G173" s="31">
        <v>2.3</v>
      </c>
      <c r="H173" s="31"/>
      <c r="I173" s="32">
        <v>3.67</v>
      </c>
      <c r="J173" s="31"/>
      <c r="K173" s="31">
        <v>3.93</v>
      </c>
      <c r="M173" s="11">
        <f>AVERAGE(G173,I173,K173)</f>
        <v>3.3000000000000003</v>
      </c>
    </row>
    <row r="174" spans="2:13" ht="12.75">
      <c r="B174" s="9" t="s">
        <v>152</v>
      </c>
      <c r="C174" s="9" t="s">
        <v>207</v>
      </c>
      <c r="D174" s="9" t="s">
        <v>21</v>
      </c>
      <c r="E174" s="9" t="s">
        <v>20</v>
      </c>
      <c r="G174" s="37">
        <v>42.7</v>
      </c>
      <c r="H174" s="37"/>
      <c r="I174" s="38">
        <v>42</v>
      </c>
      <c r="J174" s="37"/>
      <c r="K174" s="37">
        <v>41.4</v>
      </c>
      <c r="M174" s="11">
        <f>AVERAGE(G174,I174,K174)</f>
        <v>42.03333333333333</v>
      </c>
    </row>
    <row r="175" spans="2:13" ht="12.75">
      <c r="B175" s="9"/>
      <c r="C175" s="9"/>
      <c r="G175" s="37"/>
      <c r="H175" s="37"/>
      <c r="I175" s="38"/>
      <c r="J175" s="37"/>
      <c r="K175" s="37"/>
      <c r="M175" s="34"/>
    </row>
    <row r="176" spans="2:13" ht="12.75">
      <c r="B176" s="9" t="s">
        <v>111</v>
      </c>
      <c r="C176" s="9"/>
      <c r="D176" s="18" t="s">
        <v>77</v>
      </c>
      <c r="E176" s="9" t="s">
        <v>99</v>
      </c>
      <c r="G176" s="37">
        <v>0.68</v>
      </c>
      <c r="H176" s="37"/>
      <c r="I176" s="38">
        <v>0.59</v>
      </c>
      <c r="J176" s="37"/>
      <c r="K176" s="37">
        <v>0.25</v>
      </c>
      <c r="L176"/>
      <c r="M176"/>
    </row>
    <row r="177" spans="2:13" ht="12.75">
      <c r="B177" s="9" t="s">
        <v>113</v>
      </c>
      <c r="C177" s="9"/>
      <c r="D177" s="18" t="s">
        <v>77</v>
      </c>
      <c r="E177" s="9" t="s">
        <v>99</v>
      </c>
      <c r="G177" s="37">
        <v>0.05</v>
      </c>
      <c r="H177" s="37"/>
      <c r="I177" s="38">
        <v>0.05</v>
      </c>
      <c r="J177" s="9"/>
      <c r="K177" s="37">
        <v>0.05</v>
      </c>
      <c r="L177"/>
      <c r="M177"/>
    </row>
    <row r="178" spans="2:13" ht="12.75">
      <c r="B178" s="9" t="s">
        <v>114</v>
      </c>
      <c r="C178" s="9"/>
      <c r="D178" s="18" t="s">
        <v>77</v>
      </c>
      <c r="E178" s="9" t="s">
        <v>99</v>
      </c>
      <c r="G178" s="37">
        <v>0.78</v>
      </c>
      <c r="H178" s="37"/>
      <c r="I178" s="38">
        <v>0.63</v>
      </c>
      <c r="J178" s="9"/>
      <c r="K178" s="37">
        <v>0.25</v>
      </c>
      <c r="L178"/>
      <c r="M178"/>
    </row>
    <row r="179" spans="2:13" ht="12.75">
      <c r="B179" s="9" t="s">
        <v>178</v>
      </c>
      <c r="C179" s="9"/>
      <c r="D179" s="18" t="s">
        <v>77</v>
      </c>
      <c r="E179" s="9" t="s">
        <v>99</v>
      </c>
      <c r="G179" s="37">
        <v>3.09</v>
      </c>
      <c r="H179" s="37"/>
      <c r="I179" s="38">
        <v>3.37</v>
      </c>
      <c r="J179" s="9"/>
      <c r="K179" s="37">
        <v>1.8</v>
      </c>
      <c r="L179"/>
      <c r="M179"/>
    </row>
    <row r="180" spans="2:13" ht="12.75">
      <c r="B180" s="9" t="s">
        <v>115</v>
      </c>
      <c r="C180" s="9"/>
      <c r="D180" s="18" t="s">
        <v>77</v>
      </c>
      <c r="E180" s="9" t="s">
        <v>99</v>
      </c>
      <c r="G180" s="37">
        <v>0.08</v>
      </c>
      <c r="H180" s="37"/>
      <c r="I180" s="38">
        <v>0.13</v>
      </c>
      <c r="J180" s="9"/>
      <c r="K180" s="37">
        <v>0.41</v>
      </c>
      <c r="L180"/>
      <c r="M180"/>
    </row>
    <row r="181" spans="2:13" ht="12.75">
      <c r="B181" s="9" t="s">
        <v>110</v>
      </c>
      <c r="C181" s="9"/>
      <c r="D181" s="18" t="s">
        <v>77</v>
      </c>
      <c r="E181" s="9" t="s">
        <v>99</v>
      </c>
      <c r="G181" s="37">
        <v>0.21</v>
      </c>
      <c r="H181" s="37"/>
      <c r="I181" s="38">
        <v>0.27</v>
      </c>
      <c r="J181" s="9"/>
      <c r="K181" s="37">
        <v>0.2</v>
      </c>
      <c r="L181"/>
      <c r="M181"/>
    </row>
    <row r="182" spans="2:13" ht="12.75">
      <c r="B182" s="9" t="s">
        <v>112</v>
      </c>
      <c r="C182" s="9"/>
      <c r="D182" s="18" t="s">
        <v>77</v>
      </c>
      <c r="E182" s="9" t="s">
        <v>99</v>
      </c>
      <c r="G182" s="37">
        <v>1.94</v>
      </c>
      <c r="H182" s="37"/>
      <c r="I182" s="38">
        <v>1.47</v>
      </c>
      <c r="J182" s="9"/>
      <c r="K182" s="37">
        <v>1.02</v>
      </c>
      <c r="L182"/>
      <c r="M182"/>
    </row>
    <row r="183" spans="2:13" ht="12.75">
      <c r="B183" s="9" t="s">
        <v>109</v>
      </c>
      <c r="C183" s="9"/>
      <c r="D183" s="18" t="s">
        <v>77</v>
      </c>
      <c r="E183" s="9" t="s">
        <v>99</v>
      </c>
      <c r="G183" s="37">
        <v>1.42</v>
      </c>
      <c r="H183" s="37"/>
      <c r="I183" s="38">
        <v>1.52</v>
      </c>
      <c r="J183" s="9"/>
      <c r="K183" s="37">
        <v>0.5</v>
      </c>
      <c r="L183"/>
      <c r="M183"/>
    </row>
    <row r="184" spans="2:13" ht="12.75">
      <c r="B184" s="9" t="s">
        <v>118</v>
      </c>
      <c r="C184" s="9"/>
      <c r="D184" s="18" t="s">
        <v>77</v>
      </c>
      <c r="E184" s="9" t="s">
        <v>99</v>
      </c>
      <c r="G184" s="37">
        <v>0.3</v>
      </c>
      <c r="H184" s="37"/>
      <c r="I184" s="38">
        <v>0.08</v>
      </c>
      <c r="J184" s="9"/>
      <c r="K184" s="37">
        <v>0.16</v>
      </c>
      <c r="L184"/>
      <c r="M184"/>
    </row>
    <row r="185" spans="2:13" ht="12.75">
      <c r="B185" s="9" t="s">
        <v>119</v>
      </c>
      <c r="C185" s="9"/>
      <c r="D185" s="18" t="s">
        <v>77</v>
      </c>
      <c r="E185" s="9" t="s">
        <v>99</v>
      </c>
      <c r="G185" s="37">
        <v>0.26</v>
      </c>
      <c r="H185" s="37"/>
      <c r="I185" s="38">
        <v>0.24</v>
      </c>
      <c r="J185" s="9"/>
      <c r="K185" s="37">
        <v>0.24</v>
      </c>
      <c r="L185"/>
      <c r="M185"/>
    </row>
    <row r="186" spans="2:13" ht="12.75">
      <c r="B186" s="9" t="s">
        <v>116</v>
      </c>
      <c r="C186" s="9"/>
      <c r="D186" s="18" t="s">
        <v>77</v>
      </c>
      <c r="E186" s="9" t="s">
        <v>99</v>
      </c>
      <c r="G186" s="37">
        <v>19.25</v>
      </c>
      <c r="H186" s="37"/>
      <c r="I186" s="38">
        <v>118.46</v>
      </c>
      <c r="J186" s="9"/>
      <c r="K186" s="37">
        <v>15.02</v>
      </c>
      <c r="L186"/>
      <c r="M186"/>
    </row>
    <row r="187" spans="2:13" ht="12.75">
      <c r="B187" s="9" t="s">
        <v>117</v>
      </c>
      <c r="C187" s="9"/>
      <c r="D187" s="18" t="s">
        <v>77</v>
      </c>
      <c r="E187" s="9" t="s">
        <v>99</v>
      </c>
      <c r="G187" s="37">
        <v>0.63</v>
      </c>
      <c r="H187" s="37"/>
      <c r="I187" s="38">
        <v>0.49</v>
      </c>
      <c r="J187" s="9"/>
      <c r="K187" s="37">
        <v>0.49</v>
      </c>
      <c r="L187"/>
      <c r="M187"/>
    </row>
    <row r="188" spans="2:13" ht="12.75">
      <c r="B188" s="69" t="s">
        <v>209</v>
      </c>
      <c r="C188" s="9"/>
      <c r="D188" s="18" t="s">
        <v>77</v>
      </c>
      <c r="E188" s="9" t="s">
        <v>99</v>
      </c>
      <c r="G188" s="37"/>
      <c r="H188" s="37"/>
      <c r="I188" s="38"/>
      <c r="J188" s="9"/>
      <c r="K188" s="37"/>
      <c r="L188"/>
      <c r="M188"/>
    </row>
    <row r="189" spans="2:13" ht="12.75">
      <c r="B189" s="9"/>
      <c r="C189" s="9"/>
      <c r="G189" s="37"/>
      <c r="H189" s="37"/>
      <c r="I189" s="38"/>
      <c r="J189" s="37"/>
      <c r="K189" s="37"/>
      <c r="M189" s="34"/>
    </row>
    <row r="190" spans="2:13" ht="12.75">
      <c r="B190" s="9" t="s">
        <v>128</v>
      </c>
      <c r="C190" s="9" t="s">
        <v>156</v>
      </c>
      <c r="D190" s="9" t="s">
        <v>205</v>
      </c>
      <c r="G190" s="37"/>
      <c r="H190" s="37"/>
      <c r="I190" s="38"/>
      <c r="J190" s="37"/>
      <c r="K190" s="37"/>
      <c r="M190" s="34"/>
    </row>
    <row r="191" spans="2:13" ht="12.75">
      <c r="B191" s="9" t="s">
        <v>108</v>
      </c>
      <c r="C191" s="9"/>
      <c r="D191" s="9" t="s">
        <v>22</v>
      </c>
      <c r="G191" s="37">
        <v>12055</v>
      </c>
      <c r="H191" s="37"/>
      <c r="I191" s="38">
        <v>12899</v>
      </c>
      <c r="J191" s="37"/>
      <c r="K191" s="37">
        <v>12789</v>
      </c>
      <c r="M191" s="34">
        <v>12581</v>
      </c>
    </row>
    <row r="192" spans="2:13" ht="12.75">
      <c r="B192" s="9" t="s">
        <v>125</v>
      </c>
      <c r="C192" s="9"/>
      <c r="D192" s="9" t="s">
        <v>23</v>
      </c>
      <c r="G192" s="37">
        <v>7</v>
      </c>
      <c r="H192" s="37"/>
      <c r="I192" s="38">
        <v>6.5</v>
      </c>
      <c r="J192" s="37"/>
      <c r="K192" s="37">
        <v>6.4</v>
      </c>
      <c r="M192" s="34">
        <v>6.63</v>
      </c>
    </row>
    <row r="193" spans="2:13" ht="12.75">
      <c r="B193" s="9" t="s">
        <v>126</v>
      </c>
      <c r="C193" s="9"/>
      <c r="D193" s="9" t="s">
        <v>23</v>
      </c>
      <c r="G193" s="37">
        <v>18.3</v>
      </c>
      <c r="H193" s="37"/>
      <c r="I193" s="38">
        <v>18.8</v>
      </c>
      <c r="J193" s="37"/>
      <c r="K193" s="37">
        <v>17.8</v>
      </c>
      <c r="M193" s="34">
        <v>18.3</v>
      </c>
    </row>
    <row r="194" spans="2:13" ht="12.75">
      <c r="B194" s="9" t="s">
        <v>107</v>
      </c>
      <c r="C194" s="9"/>
      <c r="D194" s="9" t="s">
        <v>24</v>
      </c>
      <c r="G194" s="37">
        <v>137</v>
      </c>
      <c r="H194" s="37"/>
      <c r="I194" s="38">
        <v>138</v>
      </c>
      <c r="J194" s="37"/>
      <c r="K194" s="37">
        <v>137</v>
      </c>
      <c r="M194" s="34">
        <v>137</v>
      </c>
    </row>
    <row r="195" spans="2:13" ht="12.75">
      <c r="B195" s="9"/>
      <c r="C195" s="9"/>
      <c r="G195" s="37"/>
      <c r="H195" s="37"/>
      <c r="I195" s="38"/>
      <c r="J195" s="37"/>
      <c r="K195" s="37"/>
      <c r="M195" s="34"/>
    </row>
    <row r="196" spans="2:13" ht="12.75">
      <c r="B196" s="9" t="s">
        <v>128</v>
      </c>
      <c r="C196" s="9" t="s">
        <v>123</v>
      </c>
      <c r="D196" s="9" t="s">
        <v>206</v>
      </c>
      <c r="G196" s="37"/>
      <c r="H196" s="37"/>
      <c r="I196" s="38"/>
      <c r="J196" s="37"/>
      <c r="K196" s="37"/>
      <c r="M196" s="34"/>
    </row>
    <row r="197" spans="2:13" ht="12.75">
      <c r="B197" s="9" t="s">
        <v>108</v>
      </c>
      <c r="C197" s="9"/>
      <c r="D197" s="9" t="s">
        <v>22</v>
      </c>
      <c r="G197" s="37">
        <v>12667</v>
      </c>
      <c r="H197" s="37"/>
      <c r="I197" s="38">
        <v>12586</v>
      </c>
      <c r="J197" s="37"/>
      <c r="K197" s="37">
        <v>13501</v>
      </c>
      <c r="M197" s="34">
        <v>12918</v>
      </c>
    </row>
    <row r="198" spans="2:13" ht="12.75">
      <c r="B198" s="9" t="s">
        <v>125</v>
      </c>
      <c r="C198" s="9"/>
      <c r="D198" s="9" t="s">
        <v>23</v>
      </c>
      <c r="G198" s="37">
        <v>8.54</v>
      </c>
      <c r="H198" s="37"/>
      <c r="I198" s="38">
        <v>8.5</v>
      </c>
      <c r="J198" s="37"/>
      <c r="K198" s="37">
        <v>8.43</v>
      </c>
      <c r="M198" s="34">
        <v>8.49</v>
      </c>
    </row>
    <row r="199" spans="2:13" ht="12.75">
      <c r="B199" s="9" t="s">
        <v>126</v>
      </c>
      <c r="C199" s="9"/>
      <c r="D199" s="9" t="s">
        <v>23</v>
      </c>
      <c r="G199" s="37">
        <v>19.3</v>
      </c>
      <c r="H199" s="37"/>
      <c r="I199" s="38">
        <v>17.1</v>
      </c>
      <c r="J199" s="37"/>
      <c r="K199" s="37">
        <v>17.5</v>
      </c>
      <c r="M199" s="34">
        <v>17.9</v>
      </c>
    </row>
    <row r="200" spans="2:13" ht="12.75">
      <c r="B200" s="9" t="s">
        <v>107</v>
      </c>
      <c r="C200" s="9"/>
      <c r="D200" s="9" t="s">
        <v>24</v>
      </c>
      <c r="G200" s="37">
        <v>135</v>
      </c>
      <c r="H200" s="37"/>
      <c r="I200" s="38">
        <v>136</v>
      </c>
      <c r="J200" s="37"/>
      <c r="K200" s="37">
        <v>136</v>
      </c>
      <c r="M200" s="34">
        <v>136</v>
      </c>
    </row>
    <row r="201" spans="2:13" ht="12.75">
      <c r="B201" s="9"/>
      <c r="C201" s="9"/>
      <c r="G201" s="37"/>
      <c r="H201" s="37"/>
      <c r="I201" s="38"/>
      <c r="J201" s="37"/>
      <c r="K201" s="37"/>
      <c r="M201" s="34"/>
    </row>
    <row r="202" spans="2:9" ht="12.75">
      <c r="B202" s="9" t="s">
        <v>128</v>
      </c>
      <c r="C202" s="9" t="s">
        <v>158</v>
      </c>
      <c r="D202" s="9" t="s">
        <v>207</v>
      </c>
      <c r="I202" s="23"/>
    </row>
    <row r="203" spans="2:11" ht="12.75">
      <c r="B203" s="9" t="s">
        <v>108</v>
      </c>
      <c r="C203" s="9"/>
      <c r="D203" s="9" t="s">
        <v>22</v>
      </c>
      <c r="G203" s="31">
        <v>12979</v>
      </c>
      <c r="H203" s="31"/>
      <c r="I203" s="32">
        <v>13115</v>
      </c>
      <c r="J203" s="31"/>
      <c r="K203" s="31">
        <v>13017</v>
      </c>
    </row>
    <row r="204" spans="2:11" ht="12.75">
      <c r="B204" s="9" t="s">
        <v>125</v>
      </c>
      <c r="C204" s="9"/>
      <c r="D204" s="9" t="s">
        <v>23</v>
      </c>
      <c r="G204" s="37">
        <v>8.5</v>
      </c>
      <c r="H204" s="37"/>
      <c r="I204" s="38">
        <v>8.5</v>
      </c>
      <c r="J204" s="37"/>
      <c r="K204" s="37">
        <v>8.4</v>
      </c>
    </row>
    <row r="205" spans="2:11" ht="12.75">
      <c r="B205" s="9" t="s">
        <v>126</v>
      </c>
      <c r="C205" s="9"/>
      <c r="D205" s="9" t="s">
        <v>23</v>
      </c>
      <c r="E205" s="18"/>
      <c r="F205" s="18"/>
      <c r="G205" s="31">
        <v>17</v>
      </c>
      <c r="H205" s="31"/>
      <c r="I205" s="32">
        <v>17</v>
      </c>
      <c r="J205" s="31"/>
      <c r="K205" s="31">
        <v>17.3</v>
      </c>
    </row>
    <row r="206" spans="2:11" ht="12.75">
      <c r="B206" s="9" t="s">
        <v>107</v>
      </c>
      <c r="C206" s="9"/>
      <c r="D206" s="9" t="s">
        <v>24</v>
      </c>
      <c r="G206" s="31"/>
      <c r="H206" s="31"/>
      <c r="I206" s="32"/>
      <c r="J206" s="31"/>
      <c r="K206" s="31"/>
    </row>
    <row r="207" spans="2:11" ht="12.75">
      <c r="B207" s="9"/>
      <c r="C207" s="9"/>
      <c r="G207" s="31"/>
      <c r="H207" s="31"/>
      <c r="I207" s="32"/>
      <c r="J207" s="31"/>
      <c r="K207" s="31"/>
    </row>
    <row r="208" spans="2:13" ht="12.75">
      <c r="B208" s="9" t="s">
        <v>111</v>
      </c>
      <c r="C208" s="9" t="s">
        <v>205</v>
      </c>
      <c r="D208" s="18" t="s">
        <v>77</v>
      </c>
      <c r="E208" s="9" t="s">
        <v>20</v>
      </c>
      <c r="G208" s="64">
        <f>G176*(21-7)/(21-G$192)</f>
        <v>0.68</v>
      </c>
      <c r="H208" s="64"/>
      <c r="I208" s="64">
        <f>I176*(21-7)/(21-I$192)</f>
        <v>0.569655172413793</v>
      </c>
      <c r="J208" s="64"/>
      <c r="K208" s="64">
        <f aca="true" t="shared" si="4" ref="K208:K219">K176*(21-7)/(21-K$192)</f>
        <v>0.2397260273972603</v>
      </c>
      <c r="L208"/>
      <c r="M208" s="11">
        <f aca="true" t="shared" si="5" ref="M208:M219">AVERAGE(G208,I208,K208)</f>
        <v>0.49646039993701785</v>
      </c>
    </row>
    <row r="209" spans="2:13" ht="12.75">
      <c r="B209" s="9" t="s">
        <v>113</v>
      </c>
      <c r="C209" s="9" t="s">
        <v>205</v>
      </c>
      <c r="D209" s="18" t="s">
        <v>77</v>
      </c>
      <c r="E209" s="9" t="s">
        <v>20</v>
      </c>
      <c r="F209" s="9" t="s">
        <v>34</v>
      </c>
      <c r="G209" s="64">
        <f aca="true" t="shared" si="6" ref="G209:I219">G177*(21-7)/(21-G$192)</f>
        <v>0.05</v>
      </c>
      <c r="H209" s="9" t="s">
        <v>34</v>
      </c>
      <c r="I209" s="64">
        <f t="shared" si="6"/>
        <v>0.048275862068965524</v>
      </c>
      <c r="J209" s="9" t="s">
        <v>34</v>
      </c>
      <c r="K209" s="64">
        <f t="shared" si="4"/>
        <v>0.04794520547945206</v>
      </c>
      <c r="L209">
        <v>100</v>
      </c>
      <c r="M209" s="11">
        <f t="shared" si="5"/>
        <v>0.048740355849472526</v>
      </c>
    </row>
    <row r="210" spans="2:13" ht="12.75">
      <c r="B210" s="9" t="s">
        <v>114</v>
      </c>
      <c r="C210" s="9" t="s">
        <v>205</v>
      </c>
      <c r="D210" s="18" t="s">
        <v>77</v>
      </c>
      <c r="E210" s="9" t="s">
        <v>20</v>
      </c>
      <c r="G210" s="64">
        <f t="shared" si="6"/>
        <v>0.78</v>
      </c>
      <c r="H210" s="9"/>
      <c r="I210" s="64">
        <f t="shared" si="6"/>
        <v>0.6082758620689656</v>
      </c>
      <c r="J210" s="9"/>
      <c r="K210" s="64">
        <f t="shared" si="4"/>
        <v>0.2397260273972603</v>
      </c>
      <c r="L210"/>
      <c r="M210" s="11">
        <f t="shared" si="5"/>
        <v>0.542667296488742</v>
      </c>
    </row>
    <row r="211" spans="2:13" ht="12.75">
      <c r="B211" s="9" t="s">
        <v>178</v>
      </c>
      <c r="C211" s="9" t="s">
        <v>205</v>
      </c>
      <c r="D211" s="18" t="s">
        <v>77</v>
      </c>
      <c r="E211" s="9" t="s">
        <v>20</v>
      </c>
      <c r="G211" s="64">
        <f t="shared" si="6"/>
        <v>3.09</v>
      </c>
      <c r="H211" s="9"/>
      <c r="I211" s="64">
        <f t="shared" si="6"/>
        <v>3.2537931034482757</v>
      </c>
      <c r="J211" s="9"/>
      <c r="K211" s="64">
        <f t="shared" si="4"/>
        <v>1.726027397260274</v>
      </c>
      <c r="L211"/>
      <c r="M211" s="11">
        <f t="shared" si="5"/>
        <v>2.68994016690285</v>
      </c>
    </row>
    <row r="212" spans="2:13" ht="12.75">
      <c r="B212" s="9" t="s">
        <v>115</v>
      </c>
      <c r="C212" s="9" t="s">
        <v>205</v>
      </c>
      <c r="D212" s="18" t="s">
        <v>77</v>
      </c>
      <c r="E212" s="9" t="s">
        <v>20</v>
      </c>
      <c r="G212" s="64">
        <f t="shared" si="6"/>
        <v>0.08</v>
      </c>
      <c r="H212" s="9"/>
      <c r="I212" s="64">
        <f t="shared" si="6"/>
        <v>0.12551724137931036</v>
      </c>
      <c r="J212" s="9" t="s">
        <v>34</v>
      </c>
      <c r="K212" s="64">
        <f t="shared" si="4"/>
        <v>0.3931506849315068</v>
      </c>
      <c r="L212">
        <f>K212/(M212*3)*100</f>
        <v>65.67091164449494</v>
      </c>
      <c r="M212" s="11">
        <f t="shared" si="5"/>
        <v>0.19955597543693906</v>
      </c>
    </row>
    <row r="213" spans="2:13" ht="12.75">
      <c r="B213" s="9" t="s">
        <v>110</v>
      </c>
      <c r="C213" s="9" t="s">
        <v>205</v>
      </c>
      <c r="D213" s="18" t="s">
        <v>77</v>
      </c>
      <c r="E213" s="9" t="s">
        <v>20</v>
      </c>
      <c r="F213" s="9" t="s">
        <v>34</v>
      </c>
      <c r="G213" s="64">
        <f t="shared" si="6"/>
        <v>0.21</v>
      </c>
      <c r="H213" s="9" t="s">
        <v>34</v>
      </c>
      <c r="I213" s="64">
        <f t="shared" si="6"/>
        <v>0.2606896551724138</v>
      </c>
      <c r="J213" s="9" t="s">
        <v>34</v>
      </c>
      <c r="K213" s="64">
        <f t="shared" si="4"/>
        <v>0.19178082191780824</v>
      </c>
      <c r="L213">
        <v>100</v>
      </c>
      <c r="M213" s="11">
        <f t="shared" si="5"/>
        <v>0.22082349236340734</v>
      </c>
    </row>
    <row r="214" spans="2:13" ht="12.75">
      <c r="B214" s="9" t="s">
        <v>112</v>
      </c>
      <c r="C214" s="9" t="s">
        <v>205</v>
      </c>
      <c r="D214" s="18" t="s">
        <v>77</v>
      </c>
      <c r="E214" s="9" t="s">
        <v>20</v>
      </c>
      <c r="G214" s="64">
        <f t="shared" si="6"/>
        <v>1.94</v>
      </c>
      <c r="H214" s="9"/>
      <c r="I214" s="64">
        <f t="shared" si="6"/>
        <v>1.4193103448275861</v>
      </c>
      <c r="J214" s="9"/>
      <c r="K214" s="64">
        <f t="shared" si="4"/>
        <v>0.978082191780822</v>
      </c>
      <c r="L214"/>
      <c r="M214" s="11">
        <f t="shared" si="5"/>
        <v>1.4457975122028026</v>
      </c>
    </row>
    <row r="215" spans="2:13" ht="12.75">
      <c r="B215" s="9" t="s">
        <v>109</v>
      </c>
      <c r="C215" s="9" t="s">
        <v>205</v>
      </c>
      <c r="D215" s="18" t="s">
        <v>77</v>
      </c>
      <c r="E215" s="9" t="s">
        <v>20</v>
      </c>
      <c r="G215" s="64">
        <f t="shared" si="6"/>
        <v>1.42</v>
      </c>
      <c r="H215" s="9"/>
      <c r="I215" s="64">
        <f t="shared" si="6"/>
        <v>1.4675862068965517</v>
      </c>
      <c r="J215" s="9"/>
      <c r="K215" s="64">
        <f t="shared" si="4"/>
        <v>0.4794520547945206</v>
      </c>
      <c r="L215"/>
      <c r="M215" s="11">
        <f t="shared" si="5"/>
        <v>1.1223460872303574</v>
      </c>
    </row>
    <row r="216" spans="2:13" ht="12.75">
      <c r="B216" s="9" t="s">
        <v>118</v>
      </c>
      <c r="C216" s="9" t="s">
        <v>205</v>
      </c>
      <c r="D216" s="18" t="s">
        <v>77</v>
      </c>
      <c r="E216" s="9" t="s">
        <v>20</v>
      </c>
      <c r="G216" s="64">
        <f t="shared" si="6"/>
        <v>0.3</v>
      </c>
      <c r="H216" s="9"/>
      <c r="I216" s="64">
        <f t="shared" si="6"/>
        <v>0.07724137931034483</v>
      </c>
      <c r="J216" s="9" t="s">
        <v>34</v>
      </c>
      <c r="K216" s="64">
        <f t="shared" si="4"/>
        <v>0.15342465753424658</v>
      </c>
      <c r="L216">
        <f>K216/(M216*3)*100</f>
        <v>28.911716010040767</v>
      </c>
      <c r="M216" s="11">
        <f t="shared" si="5"/>
        <v>0.17688867894819715</v>
      </c>
    </row>
    <row r="217" spans="2:13" ht="12.75">
      <c r="B217" s="9" t="s">
        <v>119</v>
      </c>
      <c r="C217" s="9" t="s">
        <v>205</v>
      </c>
      <c r="D217" s="18" t="s">
        <v>77</v>
      </c>
      <c r="E217" s="9" t="s">
        <v>20</v>
      </c>
      <c r="F217" s="9" t="s">
        <v>34</v>
      </c>
      <c r="G217" s="64">
        <f t="shared" si="6"/>
        <v>0.26</v>
      </c>
      <c r="H217" s="9" t="s">
        <v>34</v>
      </c>
      <c r="I217" s="64">
        <f t="shared" si="6"/>
        <v>0.23172413793103447</v>
      </c>
      <c r="J217" s="9" t="s">
        <v>34</v>
      </c>
      <c r="K217" s="64">
        <f t="shared" si="4"/>
        <v>0.23013698630136986</v>
      </c>
      <c r="L217">
        <v>100</v>
      </c>
      <c r="M217" s="11">
        <f t="shared" si="5"/>
        <v>0.24062037474413478</v>
      </c>
    </row>
    <row r="218" spans="2:13" ht="12.75">
      <c r="B218" s="9" t="s">
        <v>116</v>
      </c>
      <c r="C218" s="9" t="s">
        <v>205</v>
      </c>
      <c r="D218" s="18" t="s">
        <v>77</v>
      </c>
      <c r="E218" s="9" t="s">
        <v>20</v>
      </c>
      <c r="G218" s="64">
        <f t="shared" si="6"/>
        <v>19.25</v>
      </c>
      <c r="H218" s="9"/>
      <c r="I218" s="64">
        <f t="shared" si="6"/>
        <v>114.3751724137931</v>
      </c>
      <c r="J218" s="9"/>
      <c r="K218" s="64">
        <f t="shared" si="4"/>
        <v>14.402739726027397</v>
      </c>
      <c r="L218"/>
      <c r="M218" s="11">
        <f t="shared" si="5"/>
        <v>49.342637379940165</v>
      </c>
    </row>
    <row r="219" spans="2:13" ht="12.75">
      <c r="B219" s="9" t="s">
        <v>117</v>
      </c>
      <c r="C219" s="9" t="s">
        <v>205</v>
      </c>
      <c r="D219" s="18" t="s">
        <v>77</v>
      </c>
      <c r="E219" s="9" t="s">
        <v>20</v>
      </c>
      <c r="G219" s="64">
        <f t="shared" si="6"/>
        <v>0.63</v>
      </c>
      <c r="H219" s="9" t="s">
        <v>34</v>
      </c>
      <c r="I219" s="64">
        <f t="shared" si="6"/>
        <v>0.47310344827586204</v>
      </c>
      <c r="J219" s="9" t="s">
        <v>34</v>
      </c>
      <c r="K219" s="64">
        <f t="shared" si="4"/>
        <v>0.4698630136986301</v>
      </c>
      <c r="L219">
        <f>(K219+I219)/(M219*3)*100</f>
        <v>59.948287822412816</v>
      </c>
      <c r="M219" s="11">
        <f t="shared" si="5"/>
        <v>0.5243221539914974</v>
      </c>
    </row>
    <row r="220" spans="2:13" ht="12.75">
      <c r="B220" s="69"/>
      <c r="C220" s="9"/>
      <c r="D220" s="18"/>
      <c r="G220" s="64"/>
      <c r="H220" s="9"/>
      <c r="I220" s="64"/>
      <c r="J220" s="9"/>
      <c r="K220" s="64"/>
      <c r="L220"/>
      <c r="M220" s="11"/>
    </row>
    <row r="221" spans="2:13" ht="12.75">
      <c r="B221" s="9" t="s">
        <v>78</v>
      </c>
      <c r="C221" s="9" t="s">
        <v>205</v>
      </c>
      <c r="D221" s="18" t="s">
        <v>77</v>
      </c>
      <c r="G221" s="64">
        <f>G210+G215</f>
        <v>2.2</v>
      </c>
      <c r="H221" s="9"/>
      <c r="I221" s="64">
        <f>I210+I215</f>
        <v>2.075862068965517</v>
      </c>
      <c r="J221" s="9"/>
      <c r="K221" s="64">
        <f>K210+K215</f>
        <v>0.7191780821917808</v>
      </c>
      <c r="L221">
        <v>0</v>
      </c>
      <c r="M221" s="11">
        <f>AVERAGE(G221,I221,K221)</f>
        <v>1.6650133837190995</v>
      </c>
    </row>
    <row r="222" spans="2:13" ht="12.75">
      <c r="B222" s="9" t="s">
        <v>79</v>
      </c>
      <c r="C222" s="9" t="s">
        <v>205</v>
      </c>
      <c r="D222" s="18" t="s">
        <v>77</v>
      </c>
      <c r="F222" s="9">
        <f>G209/G222*100</f>
        <v>1.3089005235602096</v>
      </c>
      <c r="G222" s="64">
        <f>G208+G209+G211</f>
        <v>3.82</v>
      </c>
      <c r="H222" s="9">
        <f>I209/I222*100</f>
        <v>1.2468827930174566</v>
      </c>
      <c r="I222" s="64">
        <f>I208+I209+I211</f>
        <v>3.871724137931034</v>
      </c>
      <c r="J222" s="9">
        <f>K209/K222*100</f>
        <v>2.3809523809523814</v>
      </c>
      <c r="K222" s="64">
        <f>K208+K209+K211</f>
        <v>2.0136986301369864</v>
      </c>
      <c r="L222">
        <f>(F222*G222+H222*I222+J222*K222)/(3*M222)</f>
        <v>1.5065914287577669</v>
      </c>
      <c r="M222" s="11">
        <f>AVERAGE(G222,I222,K222)</f>
        <v>3.23514092268934</v>
      </c>
    </row>
    <row r="223" spans="2:9" ht="12.75">
      <c r="B223" s="9"/>
      <c r="C223" s="9"/>
      <c r="D223" s="18"/>
      <c r="G223" s="37"/>
      <c r="I223" s="23"/>
    </row>
    <row r="224" spans="2:11" ht="12.75">
      <c r="B224" s="9"/>
      <c r="C224" s="9"/>
      <c r="G224" s="31"/>
      <c r="H224" s="31"/>
      <c r="I224" s="32"/>
      <c r="J224" s="31"/>
      <c r="K224" s="31"/>
    </row>
    <row r="225" spans="2:11" ht="12.75">
      <c r="B225" s="27"/>
      <c r="C225" s="27"/>
      <c r="G225" s="31"/>
      <c r="H225" s="31"/>
      <c r="I225" s="32"/>
      <c r="J225" s="31"/>
      <c r="K225" s="31"/>
    </row>
    <row r="226" spans="2:3" ht="12.75">
      <c r="B226" s="27"/>
      <c r="C226" s="27"/>
    </row>
    <row r="227" spans="2:11" ht="12.75">
      <c r="B227" s="9"/>
      <c r="C227" s="9"/>
      <c r="G227" s="31"/>
      <c r="H227" s="31"/>
      <c r="I227" s="32"/>
      <c r="J227" s="31"/>
      <c r="K227" s="31"/>
    </row>
    <row r="228" spans="2:13" ht="12.75">
      <c r="B228" s="9"/>
      <c r="C228" s="9"/>
      <c r="I228" s="23"/>
      <c r="M228" s="30"/>
    </row>
    <row r="229" spans="2:13" ht="12.75">
      <c r="B229" s="9"/>
      <c r="C229" s="9"/>
      <c r="I229" s="23"/>
      <c r="M229" s="30"/>
    </row>
    <row r="230" spans="2:13" ht="12.75">
      <c r="B230" s="9"/>
      <c r="C230" s="9"/>
      <c r="G230" s="31"/>
      <c r="H230" s="31"/>
      <c r="I230" s="32"/>
      <c r="J230" s="31"/>
      <c r="K230" s="31"/>
      <c r="M230" s="30"/>
    </row>
    <row r="231" spans="2:11" ht="12.75">
      <c r="B231" s="9"/>
      <c r="C231" s="9"/>
      <c r="G231" s="31"/>
      <c r="H231" s="31"/>
      <c r="I231" s="32"/>
      <c r="J231" s="31"/>
      <c r="K231" s="31"/>
    </row>
    <row r="232" spans="2:11" ht="12.75">
      <c r="B232" s="9"/>
      <c r="C232" s="9"/>
      <c r="G232" s="31"/>
      <c r="H232" s="31"/>
      <c r="I232" s="32"/>
      <c r="J232" s="31"/>
      <c r="K232" s="31"/>
    </row>
    <row r="233" spans="2:11" ht="12.75">
      <c r="B233" s="9"/>
      <c r="C233" s="9"/>
      <c r="G233" s="31"/>
      <c r="H233" s="31"/>
      <c r="I233" s="32"/>
      <c r="J233" s="31"/>
      <c r="K233" s="31"/>
    </row>
    <row r="234" spans="2:11" ht="12.75">
      <c r="B234" s="9"/>
      <c r="C234" s="9"/>
      <c r="G234" s="31"/>
      <c r="H234" s="31"/>
      <c r="I234" s="32"/>
      <c r="J234" s="31"/>
      <c r="K234" s="31"/>
    </row>
    <row r="235" spans="2:11" ht="12.75">
      <c r="B235" s="9"/>
      <c r="C235" s="9"/>
      <c r="D235" s="18"/>
      <c r="G235" s="31"/>
      <c r="H235" s="31"/>
      <c r="I235" s="32"/>
      <c r="J235" s="31"/>
      <c r="K235" s="31"/>
    </row>
    <row r="236" spans="2:12" ht="12.75">
      <c r="B236" s="9"/>
      <c r="C236" s="9"/>
      <c r="D236" s="18"/>
      <c r="G236" s="31"/>
      <c r="H236" s="9"/>
      <c r="I236" s="32"/>
      <c r="J236" s="9"/>
      <c r="K236" s="31"/>
      <c r="L236" s="9"/>
    </row>
    <row r="237" spans="2:12" ht="12.75">
      <c r="B237" s="9"/>
      <c r="C237" s="9"/>
      <c r="D237" s="18"/>
      <c r="G237" s="31"/>
      <c r="H237" s="9"/>
      <c r="I237" s="32"/>
      <c r="J237" s="9"/>
      <c r="K237" s="31"/>
      <c r="L237" s="9"/>
    </row>
    <row r="238" spans="2:12" ht="12.75">
      <c r="B238" s="9"/>
      <c r="C238" s="9"/>
      <c r="D238" s="18"/>
      <c r="G238" s="31"/>
      <c r="H238" s="9"/>
      <c r="I238" s="32"/>
      <c r="J238" s="9"/>
      <c r="K238" s="31"/>
      <c r="L238" s="9"/>
    </row>
    <row r="239" spans="2:12" ht="12.75">
      <c r="B239" s="9"/>
      <c r="C239" s="9"/>
      <c r="D239" s="18"/>
      <c r="G239" s="31"/>
      <c r="H239" s="9"/>
      <c r="I239" s="32"/>
      <c r="J239" s="9"/>
      <c r="K239" s="31"/>
      <c r="L239" s="9"/>
    </row>
    <row r="240" spans="2:12" ht="12.75">
      <c r="B240" s="9"/>
      <c r="C240" s="9"/>
      <c r="D240" s="18"/>
      <c r="G240" s="31"/>
      <c r="H240" s="9"/>
      <c r="I240" s="32"/>
      <c r="J240" s="9"/>
      <c r="K240" s="31"/>
      <c r="L240" s="9"/>
    </row>
    <row r="241" spans="2:12" ht="12.75">
      <c r="B241" s="9"/>
      <c r="C241" s="9"/>
      <c r="D241" s="18"/>
      <c r="G241" s="31"/>
      <c r="H241" s="9"/>
      <c r="I241" s="32"/>
      <c r="J241" s="9"/>
      <c r="K241" s="31"/>
      <c r="L241" s="9"/>
    </row>
    <row r="242" spans="2:13" ht="12.75">
      <c r="B242" s="9"/>
      <c r="C242" s="9"/>
      <c r="D242" s="18"/>
      <c r="G242" s="31"/>
      <c r="H242" s="9"/>
      <c r="I242" s="32"/>
      <c r="J242" s="9"/>
      <c r="K242" s="31"/>
      <c r="L242" s="9"/>
      <c r="M242" s="34"/>
    </row>
    <row r="243" spans="2:12" ht="12.75">
      <c r="B243" s="9"/>
      <c r="C243" s="9"/>
      <c r="D243" s="18"/>
      <c r="G243" s="31"/>
      <c r="H243" s="9"/>
      <c r="I243" s="32"/>
      <c r="J243" s="9"/>
      <c r="K243" s="31"/>
      <c r="L243" s="9"/>
    </row>
    <row r="244" spans="2:12" ht="12.75">
      <c r="B244" s="9"/>
      <c r="C244" s="9"/>
      <c r="D244" s="18"/>
      <c r="G244" s="31"/>
      <c r="H244" s="9"/>
      <c r="I244" s="32"/>
      <c r="J244" s="9"/>
      <c r="K244" s="31"/>
      <c r="L244" s="9"/>
    </row>
    <row r="245" spans="2:12" ht="12.75">
      <c r="B245" s="9"/>
      <c r="C245" s="9"/>
      <c r="D245" s="18"/>
      <c r="G245" s="31"/>
      <c r="H245" s="9"/>
      <c r="I245" s="32"/>
      <c r="J245" s="9"/>
      <c r="K245" s="31"/>
      <c r="L245" s="9"/>
    </row>
    <row r="246" spans="2:12" ht="12.75">
      <c r="B246" s="9"/>
      <c r="C246" s="9"/>
      <c r="D246" s="18"/>
      <c r="G246" s="31"/>
      <c r="H246" s="9"/>
      <c r="I246" s="32"/>
      <c r="J246" s="9"/>
      <c r="K246" s="31"/>
      <c r="L246" s="9"/>
    </row>
    <row r="247" spans="2:11" ht="12.75">
      <c r="B247" s="9"/>
      <c r="C247" s="9"/>
      <c r="D247" s="18"/>
      <c r="G247" s="31"/>
      <c r="H247" s="31"/>
      <c r="I247" s="32"/>
      <c r="J247" s="31"/>
      <c r="K247" s="31"/>
    </row>
    <row r="248" spans="2:11" ht="12.75">
      <c r="B248" s="9"/>
      <c r="C248" s="9"/>
      <c r="G248" s="31"/>
      <c r="H248" s="31"/>
      <c r="I248" s="32"/>
      <c r="J248" s="31"/>
      <c r="K248" s="31"/>
    </row>
    <row r="249" spans="2:11" ht="12.75">
      <c r="B249" s="9"/>
      <c r="C249" s="9"/>
      <c r="G249" s="31"/>
      <c r="H249" s="31"/>
      <c r="I249" s="32"/>
      <c r="J249" s="31"/>
      <c r="K249" s="31"/>
    </row>
    <row r="250" spans="2:11" ht="12.75">
      <c r="B250" s="9"/>
      <c r="C250" s="9"/>
      <c r="G250" s="31"/>
      <c r="H250" s="31"/>
      <c r="I250" s="32"/>
      <c r="J250" s="31"/>
      <c r="K250" s="31"/>
    </row>
    <row r="251" spans="2:11" ht="12.75">
      <c r="B251" s="9"/>
      <c r="C251" s="9"/>
      <c r="G251" s="31"/>
      <c r="H251" s="31"/>
      <c r="I251" s="32"/>
      <c r="J251" s="31"/>
      <c r="K251" s="31"/>
    </row>
    <row r="252" spans="2:11" ht="12.75">
      <c r="B252" s="9"/>
      <c r="C252" s="9"/>
      <c r="G252" s="31"/>
      <c r="H252" s="31"/>
      <c r="I252" s="32"/>
      <c r="J252" s="31"/>
      <c r="K252" s="31"/>
    </row>
    <row r="253" spans="2:11" ht="12.75">
      <c r="B253" s="9"/>
      <c r="C253" s="9"/>
      <c r="G253" s="31"/>
      <c r="H253" s="31"/>
      <c r="I253" s="32"/>
      <c r="J253" s="31"/>
      <c r="K253" s="31"/>
    </row>
    <row r="254" spans="2:11" ht="12.75">
      <c r="B254" s="9"/>
      <c r="C254" s="9"/>
      <c r="G254" s="31"/>
      <c r="H254" s="31"/>
      <c r="I254" s="32"/>
      <c r="J254" s="31"/>
      <c r="K254" s="31"/>
    </row>
    <row r="255" spans="2:11" ht="12.75">
      <c r="B255" s="9"/>
      <c r="C255" s="9"/>
      <c r="G255" s="31"/>
      <c r="H255" s="31"/>
      <c r="I255" s="32"/>
      <c r="J255" s="31"/>
      <c r="K255" s="31"/>
    </row>
    <row r="256" spans="2:11" ht="12.75">
      <c r="B256" s="9"/>
      <c r="C256" s="9"/>
      <c r="G256" s="31"/>
      <c r="H256" s="31"/>
      <c r="I256" s="32"/>
      <c r="J256" s="31"/>
      <c r="K256" s="31"/>
    </row>
    <row r="257" spans="2:11" ht="12.75">
      <c r="B257" s="9"/>
      <c r="C257" s="9"/>
      <c r="G257" s="31"/>
      <c r="H257" s="31"/>
      <c r="I257" s="32"/>
      <c r="J257" s="31"/>
      <c r="K257" s="31"/>
    </row>
    <row r="258" spans="2:11" ht="12.75">
      <c r="B258" s="9"/>
      <c r="C258" s="9"/>
      <c r="G258" s="31"/>
      <c r="H258" s="31"/>
      <c r="I258" s="32"/>
      <c r="J258" s="31"/>
      <c r="K258" s="31"/>
    </row>
    <row r="259" spans="2:11" ht="12.75">
      <c r="B259" s="9"/>
      <c r="C259" s="9"/>
      <c r="G259" s="31"/>
      <c r="H259" s="31"/>
      <c r="I259" s="32"/>
      <c r="J259" s="31"/>
      <c r="K259" s="31"/>
    </row>
    <row r="260" spans="2:11" ht="12.75">
      <c r="B260" s="9"/>
      <c r="C260" s="9"/>
      <c r="G260" s="31"/>
      <c r="H260" s="31"/>
      <c r="I260" s="32"/>
      <c r="J260" s="31"/>
      <c r="K260" s="31"/>
    </row>
    <row r="261" spans="2:11" ht="12.75">
      <c r="B261" s="9"/>
      <c r="C261" s="9"/>
      <c r="G261" s="31"/>
      <c r="H261" s="31"/>
      <c r="I261" s="32"/>
      <c r="J261" s="31"/>
      <c r="K261" s="31"/>
    </row>
    <row r="262" spans="2:11" ht="12.75">
      <c r="B262" s="9"/>
      <c r="C262" s="9"/>
      <c r="G262" s="31"/>
      <c r="H262" s="31"/>
      <c r="I262" s="32"/>
      <c r="J262" s="31"/>
      <c r="K262" s="31"/>
    </row>
    <row r="263" spans="2:11" ht="12.75">
      <c r="B263" s="9"/>
      <c r="C263" s="9"/>
      <c r="G263" s="31"/>
      <c r="H263" s="31"/>
      <c r="I263" s="32"/>
      <c r="J263" s="31"/>
      <c r="K263" s="31"/>
    </row>
    <row r="264" spans="2:11" ht="12.75">
      <c r="B264" s="9"/>
      <c r="C264" s="9"/>
      <c r="G264" s="31"/>
      <c r="H264" s="31"/>
      <c r="I264" s="32"/>
      <c r="J264" s="31"/>
      <c r="K264" s="31"/>
    </row>
    <row r="265" spans="2:11" ht="12.75">
      <c r="B265" s="9"/>
      <c r="C265" s="9"/>
      <c r="G265" s="31"/>
      <c r="H265" s="31"/>
      <c r="I265" s="32"/>
      <c r="J265" s="31"/>
      <c r="K265" s="31"/>
    </row>
    <row r="266" spans="2:11" ht="12.75">
      <c r="B266" s="9"/>
      <c r="C266" s="9"/>
      <c r="G266" s="31"/>
      <c r="H266" s="31"/>
      <c r="I266" s="32"/>
      <c r="J266" s="31"/>
      <c r="K266" s="31"/>
    </row>
    <row r="267" spans="2:11" ht="12.75">
      <c r="B267" s="9"/>
      <c r="C267" s="9"/>
      <c r="G267" s="31"/>
      <c r="H267" s="31"/>
      <c r="I267" s="32"/>
      <c r="J267" s="31"/>
      <c r="K267" s="31"/>
    </row>
    <row r="268" spans="2:11" ht="12.75">
      <c r="B268" s="9"/>
      <c r="C268" s="9"/>
      <c r="G268" s="31"/>
      <c r="H268" s="31"/>
      <c r="I268" s="32"/>
      <c r="J268" s="31"/>
      <c r="K268" s="31"/>
    </row>
    <row r="269" spans="2:11" ht="12.75">
      <c r="B269" s="9"/>
      <c r="C269" s="9"/>
      <c r="G269" s="31"/>
      <c r="H269" s="31"/>
      <c r="I269" s="32"/>
      <c r="J269" s="31"/>
      <c r="K269" s="31"/>
    </row>
    <row r="270" spans="2:11" ht="12.75">
      <c r="B270" s="9"/>
      <c r="C270" s="9"/>
      <c r="G270" s="31"/>
      <c r="H270" s="31"/>
      <c r="I270" s="32"/>
      <c r="J270" s="31"/>
      <c r="K270" s="31"/>
    </row>
    <row r="271" spans="2:11" ht="12.75">
      <c r="B271" s="9"/>
      <c r="C271" s="9"/>
      <c r="G271" s="31"/>
      <c r="H271" s="31"/>
      <c r="I271" s="32"/>
      <c r="J271" s="12"/>
      <c r="K271" s="31"/>
    </row>
    <row r="272" spans="2:11" ht="12.75">
      <c r="B272" s="9"/>
      <c r="C272" s="9"/>
      <c r="G272" s="31"/>
      <c r="H272" s="31"/>
      <c r="I272" s="32"/>
      <c r="J272" s="12"/>
      <c r="K272" s="31"/>
    </row>
    <row r="273" spans="2:13" ht="12.75">
      <c r="B273" s="9"/>
      <c r="C273" s="9"/>
      <c r="G273" s="11"/>
      <c r="H273" s="11"/>
      <c r="I273" s="11"/>
      <c r="J273" s="11"/>
      <c r="K273" s="11"/>
      <c r="L273" s="34"/>
      <c r="M273" s="11"/>
    </row>
    <row r="274" spans="2:13" ht="12.75">
      <c r="B274" s="9"/>
      <c r="C274" s="9"/>
      <c r="G274" s="11"/>
      <c r="H274" s="11"/>
      <c r="I274" s="11"/>
      <c r="J274" s="11"/>
      <c r="K274" s="11"/>
      <c r="L274" s="34"/>
      <c r="M274" s="11"/>
    </row>
    <row r="275" spans="2:13" ht="12.75">
      <c r="B275" s="9"/>
      <c r="C275" s="9"/>
      <c r="G275" s="11"/>
      <c r="H275" s="11"/>
      <c r="I275" s="11"/>
      <c r="J275" s="11"/>
      <c r="K275" s="11"/>
      <c r="L275" s="34"/>
      <c r="M275" s="11"/>
    </row>
    <row r="276" spans="2:11" ht="12.75">
      <c r="B276" s="9"/>
      <c r="C276" s="9"/>
      <c r="G276" s="31"/>
      <c r="H276" s="31"/>
      <c r="I276" s="32"/>
      <c r="J276" s="31"/>
      <c r="K276" s="31"/>
    </row>
    <row r="277" spans="2:13" ht="12.75">
      <c r="B277" s="9"/>
      <c r="C277" s="9"/>
      <c r="D277" s="18"/>
      <c r="G277" s="11"/>
      <c r="H277" s="31"/>
      <c r="I277" s="11"/>
      <c r="J277" s="31"/>
      <c r="K277" s="11"/>
      <c r="L277"/>
      <c r="M277"/>
    </row>
    <row r="278" spans="2:13" ht="12.75">
      <c r="B278" s="9"/>
      <c r="C278" s="9"/>
      <c r="D278" s="18"/>
      <c r="G278" s="11"/>
      <c r="H278" s="9"/>
      <c r="I278" s="11"/>
      <c r="J278" s="9"/>
      <c r="K278" s="11"/>
      <c r="L278"/>
      <c r="M278"/>
    </row>
    <row r="279" spans="2:13" ht="12.75">
      <c r="B279" s="9"/>
      <c r="C279" s="9"/>
      <c r="D279" s="18"/>
      <c r="G279" s="11"/>
      <c r="H279" s="9"/>
      <c r="I279" s="11"/>
      <c r="J279" s="9"/>
      <c r="K279" s="11"/>
      <c r="L279"/>
      <c r="M279"/>
    </row>
    <row r="280" spans="2:13" ht="12.75">
      <c r="B280" s="9"/>
      <c r="C280" s="9"/>
      <c r="D280" s="18"/>
      <c r="G280" s="11"/>
      <c r="H280" s="9"/>
      <c r="I280" s="11"/>
      <c r="J280" s="9"/>
      <c r="K280" s="11"/>
      <c r="L280"/>
      <c r="M280"/>
    </row>
    <row r="281" spans="2:13" ht="12.75">
      <c r="B281" s="9"/>
      <c r="C281" s="9"/>
      <c r="D281" s="18"/>
      <c r="G281" s="11"/>
      <c r="H281" s="9"/>
      <c r="I281" s="11"/>
      <c r="J281" s="9"/>
      <c r="K281" s="11"/>
      <c r="L281"/>
      <c r="M281" s="11"/>
    </row>
    <row r="282" spans="2:13" ht="12.75">
      <c r="B282" s="9"/>
      <c r="C282" s="9"/>
      <c r="D282" s="18"/>
      <c r="G282" s="11"/>
      <c r="H282" s="9"/>
      <c r="I282" s="11"/>
      <c r="J282" s="9"/>
      <c r="K282" s="11"/>
      <c r="L282"/>
      <c r="M282"/>
    </row>
    <row r="283" spans="2:13" ht="12.75">
      <c r="B283" s="9"/>
      <c r="C283" s="9"/>
      <c r="D283" s="18"/>
      <c r="G283" s="11"/>
      <c r="H283" s="9"/>
      <c r="I283" s="11"/>
      <c r="J283" s="9"/>
      <c r="K283" s="11"/>
      <c r="L283"/>
      <c r="M283"/>
    </row>
    <row r="284" spans="2:13" ht="12.75">
      <c r="B284" s="9"/>
      <c r="C284" s="9"/>
      <c r="D284" s="18"/>
      <c r="G284" s="11"/>
      <c r="H284" s="9"/>
      <c r="I284" s="11"/>
      <c r="J284" s="9"/>
      <c r="K284" s="11"/>
      <c r="L284"/>
      <c r="M284"/>
    </row>
    <row r="285" spans="2:13" ht="12.75">
      <c r="B285" s="9"/>
      <c r="C285" s="9"/>
      <c r="D285" s="18"/>
      <c r="G285" s="11"/>
      <c r="H285" s="9"/>
      <c r="I285" s="11"/>
      <c r="J285" s="9"/>
      <c r="K285" s="11"/>
      <c r="L285"/>
      <c r="M285"/>
    </row>
    <row r="286" spans="2:13" ht="12.75">
      <c r="B286" s="9"/>
      <c r="C286" s="9"/>
      <c r="D286" s="18"/>
      <c r="G286" s="11"/>
      <c r="H286" s="9"/>
      <c r="I286" s="11"/>
      <c r="J286" s="9"/>
      <c r="K286" s="11"/>
      <c r="L286"/>
      <c r="M286"/>
    </row>
    <row r="287" spans="2:13" ht="12.75">
      <c r="B287" s="9"/>
      <c r="C287" s="9"/>
      <c r="D287" s="18"/>
      <c r="G287" s="11"/>
      <c r="H287" s="9"/>
      <c r="I287" s="11"/>
      <c r="J287" s="9"/>
      <c r="K287" s="11"/>
      <c r="L287"/>
      <c r="M287"/>
    </row>
    <row r="288" spans="2:13" ht="12.75">
      <c r="B288" s="9"/>
      <c r="C288" s="9"/>
      <c r="D288" s="18"/>
      <c r="G288" s="11"/>
      <c r="H288" s="9"/>
      <c r="I288" s="11"/>
      <c r="J288" s="9"/>
      <c r="K288" s="11"/>
      <c r="L288"/>
      <c r="M288"/>
    </row>
    <row r="289" spans="2:13" ht="12.75">
      <c r="B289" s="9"/>
      <c r="C289" s="9"/>
      <c r="D289" s="18"/>
      <c r="G289" s="11"/>
      <c r="H289" s="9"/>
      <c r="I289" s="11"/>
      <c r="J289" s="9"/>
      <c r="K289" s="11"/>
      <c r="L289"/>
      <c r="M289"/>
    </row>
    <row r="290" spans="2:13" ht="12.75">
      <c r="B290" s="9"/>
      <c r="C290" s="9"/>
      <c r="D290" s="18"/>
      <c r="G290" s="11"/>
      <c r="H290" s="9"/>
      <c r="I290" s="11"/>
      <c r="J290" s="9"/>
      <c r="K290" s="11"/>
      <c r="L290" s="9"/>
      <c r="M290" s="11"/>
    </row>
    <row r="291" spans="2:13" ht="12.75">
      <c r="B291" s="9"/>
      <c r="C291" s="9"/>
      <c r="D291" s="18"/>
      <c r="G291" s="11"/>
      <c r="H291" s="9"/>
      <c r="I291" s="11"/>
      <c r="J291" s="9"/>
      <c r="K291" s="11"/>
      <c r="L291" s="9"/>
      <c r="M291" s="11"/>
    </row>
    <row r="292" spans="2:11" ht="12.75">
      <c r="B292" s="27"/>
      <c r="C292" s="27"/>
      <c r="G292" s="31"/>
      <c r="H292" s="31"/>
      <c r="I292" s="32"/>
      <c r="J292" s="31"/>
      <c r="K292" s="31"/>
    </row>
    <row r="293" spans="2:11" ht="12.75">
      <c r="B293" s="9"/>
      <c r="C293" s="9"/>
      <c r="G293" s="31"/>
      <c r="H293" s="31"/>
      <c r="I293" s="32"/>
      <c r="J293" s="31"/>
      <c r="K293" s="31"/>
    </row>
    <row r="294" spans="2:11" ht="12.75">
      <c r="B294" s="9"/>
      <c r="C294" s="9"/>
      <c r="G294" s="31"/>
      <c r="H294" s="31"/>
      <c r="I294" s="32"/>
      <c r="J294" s="31"/>
      <c r="K294" s="31"/>
    </row>
    <row r="295" spans="2:11" ht="12.75">
      <c r="B295" s="9"/>
      <c r="C295" s="9"/>
      <c r="G295" s="31"/>
      <c r="H295" s="31"/>
      <c r="I295" s="32"/>
      <c r="J295" s="31"/>
      <c r="K295" s="31"/>
    </row>
    <row r="296" spans="2:3" ht="12.75">
      <c r="B296" s="9"/>
      <c r="C296" s="9"/>
    </row>
    <row r="297" spans="2:11" ht="12.75">
      <c r="B297" s="9"/>
      <c r="C297" s="9"/>
      <c r="G297" s="31"/>
      <c r="H297" s="31"/>
      <c r="I297" s="32"/>
      <c r="J297" s="31"/>
      <c r="K297" s="31"/>
    </row>
    <row r="298" spans="2:11" ht="12.75">
      <c r="B298" s="9"/>
      <c r="C298" s="9"/>
      <c r="G298" s="31"/>
      <c r="H298" s="31"/>
      <c r="I298" s="32"/>
      <c r="J298" s="12"/>
      <c r="K298" s="31"/>
    </row>
    <row r="299" spans="2:11" ht="12.75">
      <c r="B299" s="9"/>
      <c r="C299" s="9"/>
      <c r="G299" s="31"/>
      <c r="H299" s="31"/>
      <c r="I299" s="32"/>
      <c r="J299" s="31"/>
      <c r="K299" s="31"/>
    </row>
    <row r="300" spans="2:11" ht="12.75">
      <c r="B300" s="9"/>
      <c r="C300" s="9"/>
      <c r="G300" s="31"/>
      <c r="H300" s="31"/>
      <c r="I300" s="32"/>
      <c r="J300" s="31"/>
      <c r="K300" s="31"/>
    </row>
    <row r="301" spans="2:11" ht="12.75">
      <c r="B301" s="9"/>
      <c r="C301" s="9"/>
      <c r="G301" s="31"/>
      <c r="H301" s="31"/>
      <c r="I301" s="32"/>
      <c r="J301" s="31"/>
      <c r="K301" s="31"/>
    </row>
    <row r="302" spans="7:11" ht="12.75">
      <c r="G302" s="36"/>
      <c r="K302" s="36"/>
    </row>
    <row r="304" spans="2:3" ht="12.75">
      <c r="B304" s="22"/>
      <c r="C304" s="22"/>
    </row>
    <row r="305" spans="2:3" ht="12.75">
      <c r="B305" s="9"/>
      <c r="C305" s="9"/>
    </row>
    <row r="306" spans="2:3" ht="12.75">
      <c r="B306" s="27"/>
      <c r="C306" s="27"/>
    </row>
    <row r="307" spans="2:3" ht="12.75">
      <c r="B307" s="9"/>
      <c r="C307" s="9"/>
    </row>
    <row r="308" spans="2:9" ht="12.75">
      <c r="B308" s="9"/>
      <c r="C308" s="9"/>
      <c r="G308" s="31"/>
      <c r="I308" s="32"/>
    </row>
    <row r="309" spans="2:9" ht="12.75">
      <c r="B309" s="9"/>
      <c r="C309" s="9"/>
      <c r="G309" s="31"/>
      <c r="I309" s="32"/>
    </row>
    <row r="310" spans="7:9" ht="12.75">
      <c r="G310" s="31"/>
      <c r="I310" s="32"/>
    </row>
    <row r="311" spans="2:11" ht="12.75">
      <c r="B311" s="9"/>
      <c r="C311" s="9"/>
      <c r="G311" s="31"/>
      <c r="H311" s="25"/>
      <c r="I311" s="32"/>
      <c r="J311" s="25"/>
      <c r="K311" s="31"/>
    </row>
    <row r="312" spans="7:9" ht="12.75">
      <c r="G312" s="31"/>
      <c r="I312" s="32"/>
    </row>
    <row r="313" spans="2:9" ht="12.75">
      <c r="B313" s="9"/>
      <c r="C313" s="9"/>
      <c r="G313" s="31"/>
      <c r="I313" s="32"/>
    </row>
    <row r="314" spans="2:9" ht="12.75">
      <c r="B314" s="9"/>
      <c r="C314" s="9"/>
      <c r="G314" s="31"/>
      <c r="I314" s="32"/>
    </row>
    <row r="315" spans="2:9" ht="12.75">
      <c r="B315" s="9"/>
      <c r="C315" s="9"/>
      <c r="G315" s="31"/>
      <c r="I315" s="32"/>
    </row>
    <row r="316" spans="2:9" ht="12.75">
      <c r="B316" s="9"/>
      <c r="C316" s="9"/>
      <c r="G316" s="31"/>
      <c r="I316" s="32"/>
    </row>
    <row r="317" spans="7:9" ht="12.75">
      <c r="G317" s="31"/>
      <c r="I317" s="32"/>
    </row>
    <row r="318" spans="2:11" ht="12.75">
      <c r="B318" s="22"/>
      <c r="C318" s="22"/>
      <c r="G318" s="25"/>
      <c r="H318" s="25"/>
      <c r="I318" s="26"/>
      <c r="J318" s="25"/>
      <c r="K318" s="25"/>
    </row>
    <row r="321" spans="7:11" ht="12.75">
      <c r="G321" s="36"/>
      <c r="K321" s="36"/>
    </row>
    <row r="322" spans="7:11" ht="12.75">
      <c r="G322" s="36"/>
      <c r="K322" s="36"/>
    </row>
    <row r="323" spans="7:11" ht="12.75">
      <c r="G323" s="36"/>
      <c r="K323" s="36"/>
    </row>
    <row r="324" spans="7:11" ht="12.75">
      <c r="G324" s="36"/>
      <c r="K324" s="36"/>
    </row>
    <row r="325" spans="7:11" ht="12.75">
      <c r="G325" s="36"/>
      <c r="K325" s="36"/>
    </row>
    <row r="326" spans="7:11" ht="12.75">
      <c r="G326" s="36"/>
      <c r="K326" s="36"/>
    </row>
    <row r="327" spans="7:11" ht="12.75">
      <c r="G327" s="36"/>
      <c r="K327" s="36"/>
    </row>
    <row r="328" spans="7:11" ht="12.75">
      <c r="G328" s="36"/>
      <c r="K328" s="36"/>
    </row>
    <row r="329" spans="7:11" ht="12.75">
      <c r="G329" s="36"/>
      <c r="K329" s="36"/>
    </row>
    <row r="330" spans="7:11" ht="12.75">
      <c r="G330" s="36"/>
      <c r="K330" s="36"/>
    </row>
    <row r="331" spans="7:11" ht="12.75">
      <c r="G331" s="36"/>
      <c r="K331" s="36"/>
    </row>
    <row r="332" spans="7:11" ht="12.75">
      <c r="G332" s="36"/>
      <c r="K332" s="36"/>
    </row>
    <row r="334" spans="7:11" ht="12.75">
      <c r="G334" s="36"/>
      <c r="K334" s="3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B1">
      <selection activeCell="F128" sqref="F128:L128"/>
    </sheetView>
  </sheetViews>
  <sheetFormatPr defaultColWidth="9.140625" defaultRowHeight="12.75"/>
  <cols>
    <col min="1" max="1" width="2.8515625" style="40" hidden="1" customWidth="1"/>
    <col min="2" max="2" width="20.140625" style="13" customWidth="1"/>
    <col min="3" max="3" width="4.00390625" style="13" customWidth="1"/>
    <col min="4" max="4" width="9.28125" style="13" customWidth="1"/>
    <col min="5" max="5" width="3.8515625" style="40" customWidth="1"/>
    <col min="6" max="6" width="9.8515625" style="41" customWidth="1"/>
    <col min="7" max="7" width="3.140625" style="42" customWidth="1"/>
    <col min="8" max="8" width="9.00390625" style="40" customWidth="1"/>
    <col min="9" max="9" width="2.28125" style="40" customWidth="1"/>
    <col min="10" max="10" width="10.00390625" style="40" customWidth="1"/>
    <col min="11" max="11" width="2.28125" style="40" customWidth="1"/>
    <col min="12" max="12" width="9.8515625" style="40" customWidth="1"/>
    <col min="13" max="13" width="3.7109375" style="40" customWidth="1"/>
    <col min="14" max="14" width="12.8515625" style="40" customWidth="1"/>
    <col min="15" max="15" width="3.00390625" style="40" customWidth="1"/>
    <col min="16" max="16" width="6.421875" style="40" customWidth="1"/>
    <col min="17" max="17" width="1.57421875" style="40" customWidth="1"/>
    <col min="18" max="18" width="7.57421875" style="40" customWidth="1"/>
    <col min="19" max="16384" width="8.8515625" style="40" customWidth="1"/>
  </cols>
  <sheetData>
    <row r="1" spans="2:3" ht="12.75">
      <c r="B1" s="39" t="s">
        <v>53</v>
      </c>
      <c r="C1" s="39"/>
    </row>
    <row r="4" spans="1:14" ht="12.75">
      <c r="A4" s="40" t="s">
        <v>131</v>
      </c>
      <c r="B4" s="39" t="s">
        <v>188</v>
      </c>
      <c r="C4" s="39" t="s">
        <v>129</v>
      </c>
      <c r="F4" s="13" t="s">
        <v>226</v>
      </c>
      <c r="H4" s="13" t="s">
        <v>226</v>
      </c>
      <c r="I4" s="13"/>
      <c r="J4" s="13" t="s">
        <v>226</v>
      </c>
      <c r="K4" s="13"/>
      <c r="L4" s="13" t="s">
        <v>226</v>
      </c>
      <c r="M4" s="13"/>
      <c r="N4" s="13" t="s">
        <v>226</v>
      </c>
    </row>
    <row r="5" spans="2:6" ht="12.75">
      <c r="B5" s="39"/>
      <c r="C5" s="39"/>
      <c r="F5" s="13"/>
    </row>
    <row r="6" spans="2:14" ht="12.75">
      <c r="B6" s="13" t="s">
        <v>227</v>
      </c>
      <c r="C6" s="39"/>
      <c r="F6" s="13" t="s">
        <v>229</v>
      </c>
      <c r="H6" s="40" t="s">
        <v>230</v>
      </c>
      <c r="J6" s="40" t="s">
        <v>231</v>
      </c>
      <c r="L6" s="40" t="s">
        <v>232</v>
      </c>
      <c r="N6" s="40" t="s">
        <v>233</v>
      </c>
    </row>
    <row r="7" spans="2:14" ht="12.75">
      <c r="B7" s="13" t="s">
        <v>228</v>
      </c>
      <c r="F7" s="41" t="s">
        <v>234</v>
      </c>
      <c r="H7" s="40" t="s">
        <v>76</v>
      </c>
      <c r="J7" s="40" t="s">
        <v>235</v>
      </c>
      <c r="L7" s="40" t="s">
        <v>236</v>
      </c>
      <c r="N7" s="41" t="s">
        <v>30</v>
      </c>
    </row>
    <row r="8" spans="2:14" ht="12.75">
      <c r="B8" s="13" t="s">
        <v>237</v>
      </c>
      <c r="F8" s="41" t="s">
        <v>88</v>
      </c>
      <c r="H8" s="23" t="s">
        <v>76</v>
      </c>
      <c r="J8" s="23" t="s">
        <v>244</v>
      </c>
      <c r="N8" s="41" t="s">
        <v>30</v>
      </c>
    </row>
    <row r="9" spans="2:18" ht="12.75">
      <c r="B9" s="13" t="s">
        <v>54</v>
      </c>
      <c r="F9" s="41" t="s">
        <v>172</v>
      </c>
      <c r="G9" s="41"/>
      <c r="H9" s="40" t="s">
        <v>76</v>
      </c>
      <c r="J9" s="41" t="s">
        <v>179</v>
      </c>
      <c r="K9" s="41"/>
      <c r="L9" s="41" t="s">
        <v>180</v>
      </c>
      <c r="M9" s="41"/>
      <c r="N9" s="41" t="s">
        <v>30</v>
      </c>
      <c r="O9" s="41"/>
      <c r="P9" s="41"/>
      <c r="Q9" s="41"/>
      <c r="R9" s="41"/>
    </row>
    <row r="10" spans="2:18" ht="12.75">
      <c r="B10" s="13" t="s">
        <v>133</v>
      </c>
      <c r="D10" s="13" t="s">
        <v>74</v>
      </c>
      <c r="F10" s="41">
        <v>8.35</v>
      </c>
      <c r="G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2:18" ht="12.75">
      <c r="B11" s="13" t="s">
        <v>133</v>
      </c>
      <c r="D11" s="13" t="s">
        <v>161</v>
      </c>
      <c r="G11" s="41"/>
      <c r="J11" s="41">
        <v>9900</v>
      </c>
      <c r="K11" s="41"/>
      <c r="L11" s="41">
        <v>70600</v>
      </c>
      <c r="M11" s="41"/>
      <c r="N11" s="41"/>
      <c r="O11" s="41"/>
      <c r="P11" s="41"/>
      <c r="Q11" s="41"/>
      <c r="R11" s="41"/>
    </row>
    <row r="12" spans="2:6" ht="12.75">
      <c r="B12" s="13" t="s">
        <v>59</v>
      </c>
      <c r="D12" s="13" t="s">
        <v>60</v>
      </c>
      <c r="F12" s="44">
        <v>5</v>
      </c>
    </row>
    <row r="13" spans="2:6" ht="12.75">
      <c r="B13" s="13" t="s">
        <v>55</v>
      </c>
      <c r="D13" s="13" t="s">
        <v>56</v>
      </c>
      <c r="F13" s="14">
        <v>4550</v>
      </c>
    </row>
    <row r="14" spans="2:10" ht="12.75">
      <c r="B14" s="13" t="s">
        <v>55</v>
      </c>
      <c r="D14" s="13" t="s">
        <v>183</v>
      </c>
      <c r="F14" s="14">
        <v>60</v>
      </c>
      <c r="J14" s="40">
        <v>1000</v>
      </c>
    </row>
    <row r="15" spans="2:6" ht="12.75">
      <c r="B15" s="13" t="s">
        <v>65</v>
      </c>
      <c r="D15" s="13" t="s">
        <v>182</v>
      </c>
      <c r="F15" s="14"/>
    </row>
    <row r="16" spans="2:13" ht="12.75">
      <c r="B16" s="13" t="s">
        <v>65</v>
      </c>
      <c r="D16" s="13" t="s">
        <v>182</v>
      </c>
      <c r="E16" s="42"/>
      <c r="H16" s="42"/>
      <c r="I16" s="42"/>
      <c r="J16" s="42"/>
      <c r="K16" s="42"/>
      <c r="L16" s="42"/>
      <c r="M16" s="42"/>
    </row>
    <row r="17" spans="2:8" ht="12.75">
      <c r="B17" s="13" t="s">
        <v>150</v>
      </c>
      <c r="D17" s="13" t="s">
        <v>64</v>
      </c>
      <c r="F17" s="14"/>
      <c r="H17" s="40">
        <v>300</v>
      </c>
    </row>
    <row r="18" spans="2:17" ht="12.75">
      <c r="B18" s="13" t="s">
        <v>57</v>
      </c>
      <c r="D18" s="13" t="s">
        <v>159</v>
      </c>
      <c r="E18" s="42"/>
      <c r="F18" s="44">
        <v>0.03</v>
      </c>
      <c r="H18" s="14"/>
      <c r="I18" s="14"/>
      <c r="J18" s="41"/>
      <c r="K18" s="41"/>
      <c r="L18" s="41"/>
      <c r="M18" s="41"/>
      <c r="N18" s="41"/>
      <c r="O18" s="41"/>
      <c r="P18" s="41"/>
      <c r="Q18" s="41"/>
    </row>
    <row r="19" spans="2:17" ht="12.75">
      <c r="B19" s="13" t="s">
        <v>58</v>
      </c>
      <c r="D19" s="13" t="s">
        <v>64</v>
      </c>
      <c r="E19" s="42"/>
      <c r="F19" s="41">
        <v>8100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5:13" ht="12.75">
      <c r="E20" s="42"/>
      <c r="H20" s="41"/>
      <c r="I20" s="41"/>
      <c r="J20" s="42"/>
      <c r="K20" s="42"/>
      <c r="L20" s="42"/>
      <c r="M20" s="42"/>
    </row>
    <row r="21" spans="2:13" ht="12.75">
      <c r="B21" s="13" t="s">
        <v>83</v>
      </c>
      <c r="D21" s="13" t="s">
        <v>22</v>
      </c>
      <c r="E21" s="42"/>
      <c r="F21" s="33">
        <v>12742</v>
      </c>
      <c r="H21" s="41"/>
      <c r="I21" s="41"/>
      <c r="J21" s="42"/>
      <c r="K21" s="42"/>
      <c r="L21" s="42"/>
      <c r="M21" s="42"/>
    </row>
    <row r="22" spans="2:13" ht="12.75">
      <c r="B22" s="13" t="s">
        <v>84</v>
      </c>
      <c r="D22" s="13" t="s">
        <v>23</v>
      </c>
      <c r="E22" s="42"/>
      <c r="F22" s="30">
        <v>9.26</v>
      </c>
      <c r="H22" s="41"/>
      <c r="I22" s="41"/>
      <c r="J22" s="42"/>
      <c r="K22" s="42"/>
      <c r="L22" s="42"/>
      <c r="M22" s="42"/>
    </row>
    <row r="23" spans="5:13" ht="12.75">
      <c r="E23" s="42"/>
      <c r="H23" s="41"/>
      <c r="I23" s="41"/>
      <c r="J23" s="42"/>
      <c r="K23" s="42"/>
      <c r="L23" s="42"/>
      <c r="M23" s="42"/>
    </row>
    <row r="24" spans="2:18" ht="12.75">
      <c r="B24" s="13" t="s">
        <v>132</v>
      </c>
      <c r="D24" s="13" t="s">
        <v>75</v>
      </c>
      <c r="E24" s="42"/>
      <c r="F24" s="14">
        <f>F10*8.34*60*F13/1000000</f>
        <v>19.011447</v>
      </c>
      <c r="G24" s="16"/>
      <c r="H24" s="14"/>
      <c r="I24" s="14"/>
      <c r="J24" s="41">
        <f>J11*J14/1000000</f>
        <v>9.9</v>
      </c>
      <c r="K24" s="41"/>
      <c r="L24" s="42"/>
      <c r="M24" s="42"/>
      <c r="N24" s="43">
        <f>SUM(F24:L24)</f>
        <v>28.911447000000003</v>
      </c>
      <c r="R24" s="43"/>
    </row>
    <row r="25" spans="2:18" ht="12.75">
      <c r="B25" s="13" t="s">
        <v>85</v>
      </c>
      <c r="D25" s="13" t="s">
        <v>75</v>
      </c>
      <c r="E25" s="42"/>
      <c r="F25" s="40"/>
      <c r="G25" s="16"/>
      <c r="H25" s="14"/>
      <c r="I25" s="14"/>
      <c r="J25" s="42"/>
      <c r="K25" s="42"/>
      <c r="L25" s="42"/>
      <c r="M25" s="42"/>
      <c r="N25" s="43">
        <f>F21/9000*(21-F22)/21*60</f>
        <v>47.48923174603174</v>
      </c>
      <c r="R25" s="14"/>
    </row>
    <row r="26" spans="5:18" ht="12.75">
      <c r="E26" s="42"/>
      <c r="F26" s="40"/>
      <c r="G26" s="16"/>
      <c r="H26" s="14"/>
      <c r="I26" s="14"/>
      <c r="J26" s="42"/>
      <c r="K26" s="42"/>
      <c r="L26" s="42"/>
      <c r="M26" s="42"/>
      <c r="R26" s="14"/>
    </row>
    <row r="27" spans="2:18" ht="12.75">
      <c r="B27" s="59" t="s">
        <v>102</v>
      </c>
      <c r="C27" s="59"/>
      <c r="E27" s="42"/>
      <c r="F27" s="40"/>
      <c r="G27" s="16"/>
      <c r="H27" s="14"/>
      <c r="I27" s="14"/>
      <c r="J27" s="42"/>
      <c r="K27" s="42"/>
      <c r="L27" s="42"/>
      <c r="M27" s="42"/>
      <c r="R27" s="14"/>
    </row>
    <row r="28" spans="2:17" ht="12.75">
      <c r="B28" s="13" t="s">
        <v>57</v>
      </c>
      <c r="D28" s="13" t="s">
        <v>86</v>
      </c>
      <c r="E28" s="42"/>
      <c r="F28" s="44">
        <f>(F10*8.34*454*F18/100)/F21/0.0283*(21-7)/(21-F22)*1000</f>
        <v>31.366462090716432</v>
      </c>
      <c r="G28" s="16"/>
      <c r="H28" s="14"/>
      <c r="I28" s="14"/>
      <c r="J28" s="42"/>
      <c r="K28" s="42"/>
      <c r="L28" s="42"/>
      <c r="M28" s="42"/>
      <c r="N28" s="46">
        <f>F28</f>
        <v>31.366462090716432</v>
      </c>
      <c r="P28" s="14"/>
      <c r="Q28" s="14"/>
    </row>
    <row r="29" spans="2:14" ht="12.75">
      <c r="B29" s="13" t="s">
        <v>58</v>
      </c>
      <c r="D29" s="13" t="s">
        <v>77</v>
      </c>
      <c r="E29" s="42"/>
      <c r="F29" s="73">
        <f>F19*454/F21/0.0283/60*(21-7)/(21-F22)*1000000</f>
        <v>202686826.93350554</v>
      </c>
      <c r="G29" s="17"/>
      <c r="H29" s="15"/>
      <c r="I29" s="15"/>
      <c r="J29" s="15"/>
      <c r="K29" s="15"/>
      <c r="L29" s="15"/>
      <c r="M29" s="15"/>
      <c r="N29" s="48">
        <f>F29</f>
        <v>202686826.93350554</v>
      </c>
    </row>
    <row r="30" spans="5:13" ht="12.75">
      <c r="E30" s="42"/>
      <c r="F30" s="15"/>
      <c r="G30" s="17"/>
      <c r="H30" s="15"/>
      <c r="I30" s="15"/>
      <c r="J30" s="15"/>
      <c r="K30" s="15"/>
      <c r="L30" s="15"/>
      <c r="M30" s="15"/>
    </row>
    <row r="31" spans="1:14" ht="12.75">
      <c r="A31" s="40" t="s">
        <v>131</v>
      </c>
      <c r="B31" s="39" t="s">
        <v>193</v>
      </c>
      <c r="C31" s="39" t="s">
        <v>129</v>
      </c>
      <c r="F31" s="41" t="s">
        <v>226</v>
      </c>
      <c r="H31" s="41" t="s">
        <v>226</v>
      </c>
      <c r="I31" s="41"/>
      <c r="J31" s="41" t="s">
        <v>226</v>
      </c>
      <c r="L31" s="41" t="s">
        <v>226</v>
      </c>
      <c r="N31" s="41" t="s">
        <v>226</v>
      </c>
    </row>
    <row r="32" spans="2:9" ht="12.75">
      <c r="B32" s="39"/>
      <c r="C32" s="39"/>
      <c r="H32" s="41"/>
      <c r="I32" s="41"/>
    </row>
    <row r="33" spans="2:14" ht="12.75">
      <c r="B33" s="13" t="s">
        <v>227</v>
      </c>
      <c r="C33" s="39"/>
      <c r="F33" s="13" t="s">
        <v>229</v>
      </c>
      <c r="H33" s="40" t="s">
        <v>230</v>
      </c>
      <c r="J33" s="40" t="s">
        <v>231</v>
      </c>
      <c r="L33" s="40" t="s">
        <v>232</v>
      </c>
      <c r="N33" s="40" t="s">
        <v>233</v>
      </c>
    </row>
    <row r="34" spans="2:14" ht="12.75">
      <c r="B34" s="13" t="s">
        <v>228</v>
      </c>
      <c r="F34" s="41" t="s">
        <v>234</v>
      </c>
      <c r="H34" s="40" t="s">
        <v>76</v>
      </c>
      <c r="J34" s="40" t="s">
        <v>235</v>
      </c>
      <c r="L34" s="40" t="s">
        <v>236</v>
      </c>
      <c r="N34" s="41" t="s">
        <v>30</v>
      </c>
    </row>
    <row r="35" spans="2:14" ht="12.75">
      <c r="B35" s="13" t="s">
        <v>237</v>
      </c>
      <c r="F35" s="41" t="s">
        <v>88</v>
      </c>
      <c r="H35" s="23" t="s">
        <v>76</v>
      </c>
      <c r="J35" s="23" t="s">
        <v>244</v>
      </c>
      <c r="N35" s="41" t="s">
        <v>30</v>
      </c>
    </row>
    <row r="36" spans="2:17" ht="12.75">
      <c r="B36" s="13" t="s">
        <v>54</v>
      </c>
      <c r="F36" s="41" t="s">
        <v>172</v>
      </c>
      <c r="G36" s="41"/>
      <c r="H36" s="40" t="s">
        <v>76</v>
      </c>
      <c r="J36" s="41" t="s">
        <v>179</v>
      </c>
      <c r="K36" s="41"/>
      <c r="L36" s="41" t="s">
        <v>180</v>
      </c>
      <c r="M36" s="41"/>
      <c r="N36" s="41" t="s">
        <v>30</v>
      </c>
      <c r="O36" s="41"/>
      <c r="P36" s="41"/>
      <c r="Q36" s="41"/>
    </row>
    <row r="37" spans="2:9" ht="12.75">
      <c r="B37" s="13" t="s">
        <v>133</v>
      </c>
      <c r="D37" s="13" t="s">
        <v>74</v>
      </c>
      <c r="F37" s="14">
        <v>10.91</v>
      </c>
      <c r="H37" s="43"/>
      <c r="I37" s="43"/>
    </row>
    <row r="38" spans="2:12" ht="12.75">
      <c r="B38" s="13" t="s">
        <v>133</v>
      </c>
      <c r="D38" s="13" t="s">
        <v>161</v>
      </c>
      <c r="F38" s="14"/>
      <c r="H38" s="43"/>
      <c r="I38" s="43"/>
      <c r="J38" s="43">
        <f>2300/3</f>
        <v>766.6666666666666</v>
      </c>
      <c r="K38" s="43"/>
      <c r="L38" s="40">
        <v>37000</v>
      </c>
    </row>
    <row r="39" spans="2:6" ht="12.75">
      <c r="B39" s="13" t="s">
        <v>59</v>
      </c>
      <c r="D39" s="13" t="s">
        <v>60</v>
      </c>
      <c r="F39" s="41">
        <v>3.92</v>
      </c>
    </row>
    <row r="40" spans="2:6" ht="12.75">
      <c r="B40" s="13" t="s">
        <v>55</v>
      </c>
      <c r="D40" s="13" t="s">
        <v>56</v>
      </c>
      <c r="F40" s="14">
        <f>(21700+1740+4340)/3</f>
        <v>9260</v>
      </c>
    </row>
    <row r="41" spans="2:10" ht="12.75">
      <c r="B41" s="13" t="s">
        <v>55</v>
      </c>
      <c r="D41" s="13" t="s">
        <v>183</v>
      </c>
      <c r="F41" s="14">
        <v>85</v>
      </c>
      <c r="J41" s="40">
        <v>1000</v>
      </c>
    </row>
    <row r="42" spans="2:13" ht="12.75">
      <c r="B42" s="13" t="s">
        <v>65</v>
      </c>
      <c r="D42" s="13" t="s">
        <v>182</v>
      </c>
      <c r="E42" s="42"/>
      <c r="H42" s="42"/>
      <c r="I42" s="42"/>
      <c r="J42" s="42"/>
      <c r="K42" s="42"/>
      <c r="L42" s="42"/>
      <c r="M42" s="42"/>
    </row>
    <row r="43" spans="2:8" ht="12.75">
      <c r="B43" s="13" t="s">
        <v>150</v>
      </c>
      <c r="D43" s="13" t="s">
        <v>64</v>
      </c>
      <c r="F43" s="14"/>
      <c r="H43" s="40">
        <v>300</v>
      </c>
    </row>
    <row r="44" spans="2:17" ht="12.75">
      <c r="B44" s="13" t="s">
        <v>57</v>
      </c>
      <c r="D44" s="13" t="s">
        <v>159</v>
      </c>
      <c r="E44" s="42"/>
      <c r="F44" s="44">
        <v>0.02</v>
      </c>
      <c r="H44" s="14"/>
      <c r="I44" s="14"/>
      <c r="J44" s="41"/>
      <c r="K44" s="41"/>
      <c r="L44" s="41"/>
      <c r="M44" s="41"/>
      <c r="N44" s="41"/>
      <c r="O44" s="41"/>
      <c r="P44" s="41"/>
      <c r="Q44" s="41"/>
    </row>
    <row r="45" spans="2:17" ht="12.75">
      <c r="B45" s="13" t="s">
        <v>58</v>
      </c>
      <c r="D45" s="13" t="s">
        <v>64</v>
      </c>
      <c r="E45" s="42"/>
      <c r="F45" s="41">
        <v>5800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7" spans="2:13" ht="12.75">
      <c r="B47" s="13" t="s">
        <v>83</v>
      </c>
      <c r="D47" s="13" t="s">
        <v>22</v>
      </c>
      <c r="E47" s="42"/>
      <c r="F47" s="33">
        <v>14209</v>
      </c>
      <c r="H47" s="41"/>
      <c r="I47" s="41"/>
      <c r="J47" s="41"/>
      <c r="K47" s="41"/>
      <c r="L47" s="41"/>
      <c r="M47" s="41"/>
    </row>
    <row r="48" spans="2:13" ht="12.75">
      <c r="B48" s="13" t="s">
        <v>84</v>
      </c>
      <c r="D48" s="13" t="s">
        <v>23</v>
      </c>
      <c r="E48" s="42"/>
      <c r="F48" s="30">
        <v>9.46</v>
      </c>
      <c r="H48" s="41"/>
      <c r="I48" s="41"/>
      <c r="J48" s="41"/>
      <c r="K48" s="41"/>
      <c r="L48" s="41"/>
      <c r="M48" s="41"/>
    </row>
    <row r="49" spans="5:13" ht="12.75">
      <c r="E49" s="42"/>
      <c r="H49" s="41"/>
      <c r="I49" s="41"/>
      <c r="J49" s="41"/>
      <c r="K49" s="41"/>
      <c r="L49" s="41"/>
      <c r="M49" s="41"/>
    </row>
    <row r="50" spans="2:14" ht="12.75">
      <c r="B50" s="13" t="s">
        <v>132</v>
      </c>
      <c r="D50" s="13" t="s">
        <v>75</v>
      </c>
      <c r="E50" s="42"/>
      <c r="F50" s="43">
        <f>F37*8.34*F40*60/1000000</f>
        <v>50.55371064</v>
      </c>
      <c r="H50" s="41"/>
      <c r="I50" s="41"/>
      <c r="J50" s="14">
        <f>J38*J41/1000000</f>
        <v>0.7666666666666666</v>
      </c>
      <c r="K50" s="14"/>
      <c r="L50" s="42"/>
      <c r="M50" s="42"/>
      <c r="N50" s="43">
        <f>SUM(F50:J50)</f>
        <v>51.320377306666664</v>
      </c>
    </row>
    <row r="51" spans="2:14" ht="12.75">
      <c r="B51" s="13" t="s">
        <v>85</v>
      </c>
      <c r="D51" s="13" t="s">
        <v>75</v>
      </c>
      <c r="E51" s="42"/>
      <c r="F51" s="40"/>
      <c r="H51" s="41"/>
      <c r="I51" s="41"/>
      <c r="J51" s="41"/>
      <c r="K51" s="41"/>
      <c r="L51" s="41"/>
      <c r="M51" s="41"/>
      <c r="N51" s="14">
        <f>F47/9000*(21-F48)/21*60</f>
        <v>52.05455873015873</v>
      </c>
    </row>
    <row r="52" spans="5:14" ht="12.75">
      <c r="E52" s="42"/>
      <c r="F52" s="40"/>
      <c r="H52" s="41"/>
      <c r="I52" s="41"/>
      <c r="J52" s="41"/>
      <c r="K52" s="41"/>
      <c r="L52" s="41"/>
      <c r="M52" s="41"/>
      <c r="N52" s="14"/>
    </row>
    <row r="53" spans="2:14" ht="12.75">
      <c r="B53" s="59" t="s">
        <v>102</v>
      </c>
      <c r="C53" s="59"/>
      <c r="E53" s="42"/>
      <c r="F53" s="40"/>
      <c r="H53" s="41"/>
      <c r="I53" s="41"/>
      <c r="J53" s="41"/>
      <c r="K53" s="41"/>
      <c r="L53" s="41"/>
      <c r="M53" s="41"/>
      <c r="N53" s="14"/>
    </row>
    <row r="54" spans="2:14" ht="12.75">
      <c r="B54" s="13" t="s">
        <v>57</v>
      </c>
      <c r="D54" s="13" t="s">
        <v>86</v>
      </c>
      <c r="E54" s="42"/>
      <c r="F54" s="44">
        <f>(F37*8.34*454*F44/100)/F47/0.0283*(21-7)/(21-F48)*1000</f>
        <v>24.92578971639881</v>
      </c>
      <c r="H54" s="41"/>
      <c r="I54" s="41"/>
      <c r="J54" s="41"/>
      <c r="K54" s="41"/>
      <c r="L54" s="41"/>
      <c r="M54" s="41"/>
      <c r="N54" s="14">
        <f>F54</f>
        <v>24.92578971639881</v>
      </c>
    </row>
    <row r="55" spans="2:14" ht="12.75">
      <c r="B55" s="13" t="s">
        <v>58</v>
      </c>
      <c r="D55" s="13" t="s">
        <v>77</v>
      </c>
      <c r="E55" s="42"/>
      <c r="F55" s="73">
        <f>F45*454/F47/0.0283/60*(21-7)/(21-F48)*1000000</f>
        <v>132405148.61723188</v>
      </c>
      <c r="G55" s="52"/>
      <c r="H55" s="73"/>
      <c r="I55" s="73"/>
      <c r="J55" s="73"/>
      <c r="K55" s="73"/>
      <c r="L55" s="73"/>
      <c r="M55" s="73"/>
      <c r="N55" s="73">
        <f>F55</f>
        <v>132405148.61723188</v>
      </c>
    </row>
    <row r="56" spans="5:13" ht="12.75">
      <c r="E56" s="42"/>
      <c r="H56" s="41"/>
      <c r="I56" s="41"/>
      <c r="J56" s="41"/>
      <c r="K56" s="41"/>
      <c r="L56" s="41"/>
      <c r="M56" s="41"/>
    </row>
    <row r="57" spans="1:14" ht="12.75">
      <c r="A57" s="40" t="s">
        <v>131</v>
      </c>
      <c r="B57" s="39" t="s">
        <v>190</v>
      </c>
      <c r="C57" s="39" t="s">
        <v>129</v>
      </c>
      <c r="F57" s="41" t="s">
        <v>226</v>
      </c>
      <c r="H57" s="41" t="s">
        <v>226</v>
      </c>
      <c r="I57" s="41"/>
      <c r="J57" s="41" t="s">
        <v>226</v>
      </c>
      <c r="K57" s="42"/>
      <c r="L57" s="41" t="s">
        <v>226</v>
      </c>
      <c r="M57" s="42"/>
      <c r="N57" s="41" t="s">
        <v>226</v>
      </c>
    </row>
    <row r="58" spans="2:13" ht="12.75">
      <c r="B58" s="39"/>
      <c r="C58" s="39"/>
      <c r="H58" s="41"/>
      <c r="I58" s="41"/>
      <c r="J58" s="42"/>
      <c r="K58" s="42"/>
      <c r="L58" s="42"/>
      <c r="M58" s="42"/>
    </row>
    <row r="59" spans="2:14" ht="12.75">
      <c r="B59" s="13" t="s">
        <v>227</v>
      </c>
      <c r="C59" s="39"/>
      <c r="F59" s="13" t="s">
        <v>229</v>
      </c>
      <c r="H59" s="40" t="s">
        <v>230</v>
      </c>
      <c r="J59" s="40" t="s">
        <v>231</v>
      </c>
      <c r="L59" s="40" t="s">
        <v>232</v>
      </c>
      <c r="N59" s="40" t="s">
        <v>233</v>
      </c>
    </row>
    <row r="60" spans="2:14" ht="12.75">
      <c r="B60" s="13" t="s">
        <v>228</v>
      </c>
      <c r="F60" s="41" t="s">
        <v>234</v>
      </c>
      <c r="H60" s="40" t="s">
        <v>76</v>
      </c>
      <c r="J60" s="40" t="s">
        <v>235</v>
      </c>
      <c r="L60" s="40" t="s">
        <v>236</v>
      </c>
      <c r="N60" s="41" t="s">
        <v>30</v>
      </c>
    </row>
    <row r="61" spans="2:14" ht="12.75">
      <c r="B61" s="13" t="s">
        <v>237</v>
      </c>
      <c r="F61" s="41" t="s">
        <v>88</v>
      </c>
      <c r="H61" s="23" t="s">
        <v>76</v>
      </c>
      <c r="J61" s="40" t="s">
        <v>244</v>
      </c>
      <c r="N61" s="41" t="s">
        <v>30</v>
      </c>
    </row>
    <row r="62" spans="2:17" ht="12.75">
      <c r="B62" s="13" t="s">
        <v>54</v>
      </c>
      <c r="F62" s="41" t="s">
        <v>172</v>
      </c>
      <c r="G62" s="41"/>
      <c r="H62" s="40" t="s">
        <v>76</v>
      </c>
      <c r="J62" s="41" t="s">
        <v>179</v>
      </c>
      <c r="K62" s="41"/>
      <c r="L62" s="41" t="s">
        <v>180</v>
      </c>
      <c r="M62" s="41"/>
      <c r="N62" s="41" t="s">
        <v>30</v>
      </c>
      <c r="O62" s="41"/>
      <c r="P62" s="41"/>
      <c r="Q62" s="41"/>
    </row>
    <row r="63" spans="2:15" ht="12.75">
      <c r="B63" s="13" t="s">
        <v>133</v>
      </c>
      <c r="D63" s="13" t="s">
        <v>74</v>
      </c>
      <c r="F63" s="14">
        <v>8.32</v>
      </c>
      <c r="O63" s="43"/>
    </row>
    <row r="64" spans="2:15" ht="12.75">
      <c r="B64" s="13" t="s">
        <v>133</v>
      </c>
      <c r="D64" s="13" t="s">
        <v>161</v>
      </c>
      <c r="F64" s="14"/>
      <c r="J64" s="43">
        <f>(18776+17372+15795)/3</f>
        <v>17314.333333333332</v>
      </c>
      <c r="K64" s="43"/>
      <c r="L64" s="40">
        <v>68000</v>
      </c>
      <c r="O64" s="43"/>
    </row>
    <row r="65" spans="2:15" ht="12.75">
      <c r="B65" s="13" t="s">
        <v>59</v>
      </c>
      <c r="D65" s="13" t="s">
        <v>60</v>
      </c>
      <c r="F65" s="14">
        <v>4.1</v>
      </c>
      <c r="J65" s="43"/>
      <c r="K65" s="43"/>
      <c r="O65" s="43"/>
    </row>
    <row r="66" spans="2:15" ht="12.75">
      <c r="B66" s="13" t="s">
        <v>55</v>
      </c>
      <c r="D66" s="13" t="s">
        <v>56</v>
      </c>
      <c r="F66" s="14">
        <f>(5650+1740+4780)/3</f>
        <v>4056.6666666666665</v>
      </c>
      <c r="J66" s="43"/>
      <c r="K66" s="43"/>
      <c r="O66" s="43"/>
    </row>
    <row r="67" spans="2:15" ht="12.75">
      <c r="B67" s="13" t="s">
        <v>55</v>
      </c>
      <c r="D67" s="13" t="s">
        <v>183</v>
      </c>
      <c r="F67" s="14"/>
      <c r="J67" s="43">
        <v>1000</v>
      </c>
      <c r="K67" s="43"/>
      <c r="O67" s="43"/>
    </row>
    <row r="68" spans="2:15" ht="12.75">
      <c r="B68" s="13" t="s">
        <v>65</v>
      </c>
      <c r="D68" s="13" t="s">
        <v>182</v>
      </c>
      <c r="F68" s="14">
        <v>77</v>
      </c>
      <c r="H68" s="43"/>
      <c r="I68" s="43"/>
      <c r="N68" s="43"/>
      <c r="O68" s="43"/>
    </row>
    <row r="69" spans="2:13" ht="12.75">
      <c r="B69" s="13" t="s">
        <v>150</v>
      </c>
      <c r="D69" s="13" t="s">
        <v>64</v>
      </c>
      <c r="E69" s="42"/>
      <c r="H69" s="41">
        <v>300</v>
      </c>
      <c r="I69" s="41"/>
      <c r="J69" s="42"/>
      <c r="K69" s="42"/>
      <c r="L69" s="42"/>
      <c r="M69" s="42"/>
    </row>
    <row r="70" spans="2:13" ht="12.75">
      <c r="B70" s="13" t="s">
        <v>57</v>
      </c>
      <c r="D70" s="13" t="s">
        <v>159</v>
      </c>
      <c r="E70" s="42"/>
      <c r="F70" s="44">
        <v>0.033</v>
      </c>
      <c r="H70" s="41"/>
      <c r="I70" s="41"/>
      <c r="J70" s="41"/>
      <c r="K70" s="41"/>
      <c r="L70" s="41"/>
      <c r="M70" s="41"/>
    </row>
    <row r="71" spans="2:13" ht="12.75">
      <c r="B71" s="13" t="s">
        <v>58</v>
      </c>
      <c r="D71" s="13" t="s">
        <v>64</v>
      </c>
      <c r="E71" s="42"/>
      <c r="F71" s="43">
        <v>8400</v>
      </c>
      <c r="H71" s="41"/>
      <c r="I71" s="41"/>
      <c r="J71" s="41"/>
      <c r="K71" s="41"/>
      <c r="L71" s="41"/>
      <c r="M71" s="41"/>
    </row>
    <row r="72" spans="2:13" ht="12.75">
      <c r="B72" s="13" t="s">
        <v>110</v>
      </c>
      <c r="D72" s="13" t="s">
        <v>160</v>
      </c>
      <c r="E72" s="42" t="s">
        <v>34</v>
      </c>
      <c r="F72" s="44">
        <v>0.19</v>
      </c>
      <c r="H72" s="41"/>
      <c r="I72" s="41"/>
      <c r="J72" s="41"/>
      <c r="K72" s="41"/>
      <c r="L72" s="41"/>
      <c r="M72" s="41"/>
    </row>
    <row r="73" spans="2:13" ht="12.75">
      <c r="B73" s="13" t="s">
        <v>111</v>
      </c>
      <c r="D73" s="13" t="s">
        <v>160</v>
      </c>
      <c r="E73" s="42"/>
      <c r="F73" s="44">
        <v>0.3</v>
      </c>
      <c r="H73" s="41"/>
      <c r="I73" s="41"/>
      <c r="J73" s="41"/>
      <c r="K73" s="41"/>
      <c r="L73" s="41"/>
      <c r="M73" s="41"/>
    </row>
    <row r="74" spans="2:13" ht="12.75">
      <c r="B74" s="13" t="s">
        <v>112</v>
      </c>
      <c r="D74" s="13" t="s">
        <v>160</v>
      </c>
      <c r="E74" s="42"/>
      <c r="F74" s="44">
        <v>0.06</v>
      </c>
      <c r="H74" s="41"/>
      <c r="I74" s="41"/>
      <c r="J74" s="41"/>
      <c r="K74" s="41"/>
      <c r="L74" s="41"/>
      <c r="M74" s="41"/>
    </row>
    <row r="75" spans="2:13" ht="12.75">
      <c r="B75" s="13" t="s">
        <v>113</v>
      </c>
      <c r="D75" s="13" t="s">
        <v>160</v>
      </c>
      <c r="E75" s="42" t="s">
        <v>34</v>
      </c>
      <c r="F75" s="44">
        <v>0.03</v>
      </c>
      <c r="H75" s="41"/>
      <c r="I75" s="41"/>
      <c r="J75" s="41"/>
      <c r="K75" s="41"/>
      <c r="L75" s="41"/>
      <c r="M75" s="41"/>
    </row>
    <row r="76" spans="2:13" ht="12.75">
      <c r="B76" s="13" t="s">
        <v>114</v>
      </c>
      <c r="D76" s="13" t="s">
        <v>160</v>
      </c>
      <c r="E76" s="42" t="s">
        <v>34</v>
      </c>
      <c r="F76" s="44">
        <v>0.09</v>
      </c>
      <c r="H76" s="41"/>
      <c r="I76" s="41"/>
      <c r="J76" s="41"/>
      <c r="K76" s="41"/>
      <c r="L76" s="41"/>
      <c r="M76" s="41"/>
    </row>
    <row r="77" spans="2:13" ht="12.75">
      <c r="B77" s="13" t="s">
        <v>178</v>
      </c>
      <c r="D77" s="13" t="s">
        <v>160</v>
      </c>
      <c r="E77" s="42"/>
      <c r="F77" s="44">
        <f>(0.24+0.76+0.28)/3</f>
        <v>0.4266666666666667</v>
      </c>
      <c r="H77" s="41"/>
      <c r="I77" s="41"/>
      <c r="J77" s="41"/>
      <c r="K77" s="41"/>
      <c r="L77" s="41"/>
      <c r="M77" s="41"/>
    </row>
    <row r="78" spans="2:13" ht="12.75">
      <c r="B78" s="13" t="s">
        <v>109</v>
      </c>
      <c r="D78" s="13" t="s">
        <v>160</v>
      </c>
      <c r="E78" s="42"/>
      <c r="F78" s="44">
        <f>(0.32+0.22+0.78)/3</f>
        <v>0.44</v>
      </c>
      <c r="H78" s="41"/>
      <c r="I78" s="41"/>
      <c r="J78" s="41"/>
      <c r="K78" s="41"/>
      <c r="L78" s="41"/>
      <c r="M78" s="41"/>
    </row>
    <row r="79" spans="2:13" ht="12.75">
      <c r="B79" s="13" t="s">
        <v>115</v>
      </c>
      <c r="D79" s="13" t="s">
        <v>160</v>
      </c>
      <c r="E79" s="42"/>
      <c r="F79" s="44">
        <v>1</v>
      </c>
      <c r="H79" s="41"/>
      <c r="I79" s="41"/>
      <c r="J79" s="41"/>
      <c r="K79" s="41"/>
      <c r="L79" s="41"/>
      <c r="M79" s="41"/>
    </row>
    <row r="80" spans="2:13" ht="12.75">
      <c r="B80" s="13" t="s">
        <v>116</v>
      </c>
      <c r="D80" s="13" t="s">
        <v>160</v>
      </c>
      <c r="E80" s="42"/>
      <c r="F80" s="44">
        <f>(0.48+0.76+2.6)/3</f>
        <v>1.28</v>
      </c>
      <c r="H80" s="41"/>
      <c r="I80" s="41"/>
      <c r="J80" s="41"/>
      <c r="K80" s="41"/>
      <c r="L80" s="41"/>
      <c r="M80" s="41"/>
    </row>
    <row r="81" spans="2:13" ht="12.75">
      <c r="B81" s="13" t="s">
        <v>117</v>
      </c>
      <c r="D81" s="13" t="s">
        <v>160</v>
      </c>
      <c r="E81" s="42" t="s">
        <v>34</v>
      </c>
      <c r="F81" s="44">
        <v>0.34</v>
      </c>
      <c r="H81" s="41"/>
      <c r="I81" s="41"/>
      <c r="J81" s="41"/>
      <c r="K81" s="41"/>
      <c r="L81" s="41"/>
      <c r="M81" s="41"/>
    </row>
    <row r="82" spans="2:13" ht="12.75">
      <c r="B82" s="13" t="s">
        <v>118</v>
      </c>
      <c r="D82" s="13" t="s">
        <v>160</v>
      </c>
      <c r="E82" s="42" t="s">
        <v>34</v>
      </c>
      <c r="F82" s="44">
        <v>0.08</v>
      </c>
      <c r="H82" s="41"/>
      <c r="I82" s="41"/>
      <c r="J82" s="41"/>
      <c r="K82" s="41"/>
      <c r="L82" s="41"/>
      <c r="M82" s="41"/>
    </row>
    <row r="83" spans="2:13" ht="12.75">
      <c r="B83" s="13" t="s">
        <v>119</v>
      </c>
      <c r="D83" s="13" t="s">
        <v>160</v>
      </c>
      <c r="E83" s="42" t="s">
        <v>34</v>
      </c>
      <c r="F83" s="44">
        <v>1</v>
      </c>
      <c r="H83" s="41"/>
      <c r="I83" s="41"/>
      <c r="J83" s="41"/>
      <c r="K83" s="41"/>
      <c r="L83" s="41"/>
      <c r="M83" s="41"/>
    </row>
    <row r="84" spans="2:13" ht="12.75">
      <c r="B84" s="34" t="s">
        <v>209</v>
      </c>
      <c r="D84" s="13" t="s">
        <v>160</v>
      </c>
      <c r="E84" s="42" t="s">
        <v>34</v>
      </c>
      <c r="F84" s="44">
        <v>0.2</v>
      </c>
      <c r="H84" s="41"/>
      <c r="I84" s="41"/>
      <c r="J84" s="41"/>
      <c r="K84" s="41"/>
      <c r="L84" s="41"/>
      <c r="M84" s="41"/>
    </row>
    <row r="85" spans="5:13" ht="12.75">
      <c r="E85" s="42"/>
      <c r="F85" s="44"/>
      <c r="H85" s="41"/>
      <c r="I85" s="41"/>
      <c r="J85" s="41"/>
      <c r="K85" s="41"/>
      <c r="L85" s="41"/>
      <c r="M85" s="41"/>
    </row>
    <row r="86" spans="2:13" ht="12.75">
      <c r="B86" s="13" t="s">
        <v>83</v>
      </c>
      <c r="D86" s="13" t="s">
        <v>22</v>
      </c>
      <c r="E86" s="42"/>
      <c r="F86" s="33">
        <v>13852</v>
      </c>
      <c r="H86" s="41"/>
      <c r="I86" s="41"/>
      <c r="J86" s="41"/>
      <c r="K86" s="41"/>
      <c r="L86" s="41"/>
      <c r="M86" s="41"/>
    </row>
    <row r="87" spans="2:13" ht="12.75">
      <c r="B87" s="13" t="s">
        <v>84</v>
      </c>
      <c r="D87" s="13" t="s">
        <v>23</v>
      </c>
      <c r="E87" s="42"/>
      <c r="F87" s="34">
        <v>8.37</v>
      </c>
      <c r="H87" s="41"/>
      <c r="I87" s="41"/>
      <c r="J87" s="41"/>
      <c r="K87" s="41"/>
      <c r="L87" s="41"/>
      <c r="M87" s="41"/>
    </row>
    <row r="88" spans="5:13" ht="12.75">
      <c r="E88" s="42"/>
      <c r="H88" s="41"/>
      <c r="I88" s="41"/>
      <c r="J88" s="41"/>
      <c r="K88" s="41"/>
      <c r="L88" s="41"/>
      <c r="M88" s="41"/>
    </row>
    <row r="89" spans="2:14" ht="12.75">
      <c r="B89" s="13" t="s">
        <v>132</v>
      </c>
      <c r="D89" s="13" t="s">
        <v>75</v>
      </c>
      <c r="E89" s="42"/>
      <c r="F89" s="46">
        <f>F63*8.34*F66*60/1000000</f>
        <v>16.889233920000002</v>
      </c>
      <c r="J89" s="44">
        <f>J64*J67/1000000</f>
        <v>17.314333333333334</v>
      </c>
      <c r="K89" s="44"/>
      <c r="L89" s="42"/>
      <c r="M89" s="42"/>
      <c r="N89" s="43">
        <f>SUM(F89:J89)</f>
        <v>34.20356725333333</v>
      </c>
    </row>
    <row r="90" spans="2:14" ht="12.75">
      <c r="B90" s="13" t="s">
        <v>85</v>
      </c>
      <c r="D90" s="13" t="s">
        <v>75</v>
      </c>
      <c r="E90" s="42"/>
      <c r="F90" s="40"/>
      <c r="H90" s="41"/>
      <c r="I90" s="41"/>
      <c r="J90" s="41"/>
      <c r="K90" s="41"/>
      <c r="L90" s="41"/>
      <c r="M90" s="41"/>
      <c r="N90" s="14">
        <f>F86/9000*(21-F87)/21*60</f>
        <v>55.53992380952381</v>
      </c>
    </row>
    <row r="91" spans="5:13" ht="12.75">
      <c r="E91" s="42"/>
      <c r="F91" s="44"/>
      <c r="H91" s="41"/>
      <c r="I91" s="41"/>
      <c r="J91" s="41"/>
      <c r="K91" s="41"/>
      <c r="L91" s="41"/>
      <c r="M91" s="41"/>
    </row>
    <row r="92" spans="5:13" ht="12.75">
      <c r="E92" s="42"/>
      <c r="H92" s="41"/>
      <c r="I92" s="41"/>
      <c r="J92" s="41"/>
      <c r="K92" s="41"/>
      <c r="L92" s="41"/>
      <c r="M92" s="41"/>
    </row>
    <row r="93" spans="2:13" ht="12.75">
      <c r="B93" s="59" t="s">
        <v>102</v>
      </c>
      <c r="C93" s="59"/>
      <c r="E93" s="42"/>
      <c r="H93" s="41"/>
      <c r="I93" s="41"/>
      <c r="J93" s="41"/>
      <c r="K93" s="41"/>
      <c r="L93" s="41"/>
      <c r="M93" s="41"/>
    </row>
    <row r="94" spans="2:14" ht="12.75">
      <c r="B94" s="13" t="s">
        <v>57</v>
      </c>
      <c r="D94" s="13" t="s">
        <v>86</v>
      </c>
      <c r="E94" s="42"/>
      <c r="F94" s="44">
        <f>(F63*8.34*454*F70/100)/F86/0.0283*(21-7)/(21-F87)*1000</f>
        <v>29.3957764772044</v>
      </c>
      <c r="H94" s="41"/>
      <c r="I94" s="41"/>
      <c r="J94" s="41"/>
      <c r="K94" s="41"/>
      <c r="L94" s="41"/>
      <c r="M94" s="41"/>
      <c r="N94" s="46">
        <f>F94</f>
        <v>29.3957764772044</v>
      </c>
    </row>
    <row r="95" spans="2:14" ht="12.75">
      <c r="B95" s="13" t="s">
        <v>58</v>
      </c>
      <c r="D95" s="13" t="s">
        <v>77</v>
      </c>
      <c r="E95" s="42"/>
      <c r="F95" s="73">
        <f>F71*454/F86/0.0283*(21-7)/(21-F87)*1000000/60</f>
        <v>179725481.27619475</v>
      </c>
      <c r="G95" s="52"/>
      <c r="H95" s="73"/>
      <c r="I95" s="73"/>
      <c r="J95" s="73"/>
      <c r="K95" s="73"/>
      <c r="L95" s="73"/>
      <c r="M95" s="73"/>
      <c r="N95" s="48">
        <f>F95</f>
        <v>179725481.27619475</v>
      </c>
    </row>
    <row r="96" spans="2:14" ht="12.75">
      <c r="B96" s="13" t="s">
        <v>110</v>
      </c>
      <c r="D96" s="13" t="s">
        <v>77</v>
      </c>
      <c r="E96" s="42">
        <v>100</v>
      </c>
      <c r="F96" s="44">
        <f aca="true" t="shared" si="0" ref="F96:F108">(F$63*8.34*454*F72/1000000)/F$86/0.0283/(21-7)/(21-F$87)*1000000</f>
        <v>0.08635122960217742</v>
      </c>
      <c r="H96" s="41"/>
      <c r="I96" s="41"/>
      <c r="J96" s="41"/>
      <c r="K96" s="41"/>
      <c r="L96" s="41"/>
      <c r="M96" s="42">
        <v>100</v>
      </c>
      <c r="N96" s="46">
        <f aca="true" t="shared" si="1" ref="N96:N108">F96</f>
        <v>0.08635122960217742</v>
      </c>
    </row>
    <row r="97" spans="2:14" ht="12.75">
      <c r="B97" s="13" t="s">
        <v>111</v>
      </c>
      <c r="D97" s="13" t="s">
        <v>77</v>
      </c>
      <c r="E97" s="42"/>
      <c r="F97" s="44">
        <f t="shared" si="0"/>
        <v>0.1363440467402801</v>
      </c>
      <c r="H97" s="41"/>
      <c r="I97" s="41"/>
      <c r="J97" s="41"/>
      <c r="K97" s="41"/>
      <c r="L97" s="41"/>
      <c r="M97" s="42"/>
      <c r="N97" s="46">
        <f t="shared" si="1"/>
        <v>0.1363440467402801</v>
      </c>
    </row>
    <row r="98" spans="2:14" ht="12.75">
      <c r="B98" s="13" t="s">
        <v>112</v>
      </c>
      <c r="D98" s="13" t="s">
        <v>77</v>
      </c>
      <c r="E98" s="42"/>
      <c r="F98" s="44">
        <f t="shared" si="0"/>
        <v>0.027268809348056023</v>
      </c>
      <c r="H98" s="41"/>
      <c r="I98" s="41"/>
      <c r="J98" s="41"/>
      <c r="K98" s="41"/>
      <c r="L98" s="41"/>
      <c r="M98" s="42"/>
      <c r="N98" s="46">
        <f t="shared" si="1"/>
        <v>0.027268809348056023</v>
      </c>
    </row>
    <row r="99" spans="2:14" ht="12.75">
      <c r="B99" s="13" t="s">
        <v>113</v>
      </c>
      <c r="D99" s="13" t="s">
        <v>77</v>
      </c>
      <c r="E99" s="42">
        <v>100</v>
      </c>
      <c r="F99" s="44">
        <f t="shared" si="0"/>
        <v>0.013634404674028011</v>
      </c>
      <c r="H99" s="41"/>
      <c r="I99" s="41"/>
      <c r="J99" s="41"/>
      <c r="K99" s="41"/>
      <c r="L99" s="41"/>
      <c r="M99" s="42">
        <v>100</v>
      </c>
      <c r="N99" s="46">
        <f t="shared" si="1"/>
        <v>0.013634404674028011</v>
      </c>
    </row>
    <row r="100" spans="2:14" ht="12.75">
      <c r="B100" s="13" t="s">
        <v>114</v>
      </c>
      <c r="D100" s="13" t="s">
        <v>77</v>
      </c>
      <c r="E100" s="42">
        <v>100</v>
      </c>
      <c r="F100" s="44">
        <f t="shared" si="0"/>
        <v>0.04090321402208404</v>
      </c>
      <c r="H100" s="41"/>
      <c r="I100" s="41"/>
      <c r="J100" s="41"/>
      <c r="K100" s="41"/>
      <c r="L100" s="41"/>
      <c r="M100" s="42">
        <v>100</v>
      </c>
      <c r="N100" s="46">
        <f t="shared" si="1"/>
        <v>0.04090321402208404</v>
      </c>
    </row>
    <row r="101" spans="2:14" ht="12.75">
      <c r="B101" s="13" t="s">
        <v>178</v>
      </c>
      <c r="D101" s="13" t="s">
        <v>77</v>
      </c>
      <c r="E101" s="42"/>
      <c r="F101" s="44">
        <f t="shared" si="0"/>
        <v>0.19391153314173176</v>
      </c>
      <c r="H101" s="41"/>
      <c r="I101" s="41"/>
      <c r="J101" s="41"/>
      <c r="K101" s="41"/>
      <c r="L101" s="41"/>
      <c r="M101" s="42"/>
      <c r="N101" s="46">
        <f t="shared" si="1"/>
        <v>0.19391153314173176</v>
      </c>
    </row>
    <row r="102" spans="2:14" ht="12.75">
      <c r="B102" s="13" t="s">
        <v>109</v>
      </c>
      <c r="D102" s="13" t="s">
        <v>77</v>
      </c>
      <c r="E102" s="42"/>
      <c r="F102" s="44">
        <f t="shared" si="0"/>
        <v>0.1999712685524109</v>
      </c>
      <c r="H102" s="41"/>
      <c r="I102" s="41"/>
      <c r="J102" s="41"/>
      <c r="K102" s="41"/>
      <c r="L102" s="41"/>
      <c r="M102" s="42"/>
      <c r="N102" s="46">
        <f t="shared" si="1"/>
        <v>0.1999712685524109</v>
      </c>
    </row>
    <row r="103" spans="2:14" ht="12.75">
      <c r="B103" s="13" t="s">
        <v>115</v>
      </c>
      <c r="D103" s="13" t="s">
        <v>77</v>
      </c>
      <c r="E103" s="42"/>
      <c r="F103" s="44">
        <f t="shared" si="0"/>
        <v>0.45448015580093387</v>
      </c>
      <c r="H103" s="41"/>
      <c r="I103" s="41"/>
      <c r="J103" s="41"/>
      <c r="K103" s="41"/>
      <c r="L103" s="41"/>
      <c r="M103" s="42"/>
      <c r="N103" s="46">
        <f t="shared" si="1"/>
        <v>0.45448015580093387</v>
      </c>
    </row>
    <row r="104" spans="2:14" ht="12.75">
      <c r="B104" s="13" t="s">
        <v>116</v>
      </c>
      <c r="D104" s="13" t="s">
        <v>77</v>
      </c>
      <c r="E104" s="42"/>
      <c r="F104" s="44">
        <f t="shared" si="0"/>
        <v>0.5817345994251952</v>
      </c>
      <c r="H104" s="41"/>
      <c r="I104" s="41"/>
      <c r="J104" s="41"/>
      <c r="K104" s="41"/>
      <c r="L104" s="41"/>
      <c r="M104" s="42"/>
      <c r="N104" s="46">
        <f t="shared" si="1"/>
        <v>0.5817345994251952</v>
      </c>
    </row>
    <row r="105" spans="2:14" ht="12.75">
      <c r="B105" s="13" t="s">
        <v>117</v>
      </c>
      <c r="D105" s="13" t="s">
        <v>77</v>
      </c>
      <c r="E105" s="42">
        <v>100</v>
      </c>
      <c r="F105" s="44">
        <f t="shared" si="0"/>
        <v>0.1545232529723175</v>
      </c>
      <c r="H105" s="41"/>
      <c r="I105" s="41"/>
      <c r="J105" s="41"/>
      <c r="K105" s="41"/>
      <c r="L105" s="41"/>
      <c r="M105" s="42">
        <v>100</v>
      </c>
      <c r="N105" s="46">
        <f t="shared" si="1"/>
        <v>0.1545232529723175</v>
      </c>
    </row>
    <row r="106" spans="2:14" ht="12.75">
      <c r="B106" s="13" t="s">
        <v>118</v>
      </c>
      <c r="D106" s="13" t="s">
        <v>77</v>
      </c>
      <c r="E106" s="42">
        <v>100</v>
      </c>
      <c r="F106" s="44">
        <f t="shared" si="0"/>
        <v>0.0363584124640747</v>
      </c>
      <c r="H106" s="41"/>
      <c r="I106" s="41"/>
      <c r="J106" s="41"/>
      <c r="K106" s="41"/>
      <c r="L106" s="41"/>
      <c r="M106" s="42">
        <v>100</v>
      </c>
      <c r="N106" s="46">
        <f t="shared" si="1"/>
        <v>0.0363584124640747</v>
      </c>
    </row>
    <row r="107" spans="2:14" ht="12.75">
      <c r="B107" s="13" t="s">
        <v>119</v>
      </c>
      <c r="D107" s="13" t="s">
        <v>77</v>
      </c>
      <c r="E107" s="42">
        <v>100</v>
      </c>
      <c r="F107" s="44">
        <f t="shared" si="0"/>
        <v>0.45448015580093387</v>
      </c>
      <c r="H107" s="41"/>
      <c r="I107" s="41"/>
      <c r="J107" s="41"/>
      <c r="K107" s="41"/>
      <c r="L107" s="41"/>
      <c r="M107" s="42">
        <v>100</v>
      </c>
      <c r="N107" s="46">
        <f t="shared" si="1"/>
        <v>0.45448015580093387</v>
      </c>
    </row>
    <row r="108" spans="2:14" ht="12.75">
      <c r="B108" s="34" t="s">
        <v>209</v>
      </c>
      <c r="D108" s="13" t="s">
        <v>77</v>
      </c>
      <c r="E108" s="42">
        <v>100</v>
      </c>
      <c r="F108" s="44">
        <f t="shared" si="0"/>
        <v>0.09089603116018675</v>
      </c>
      <c r="H108" s="41"/>
      <c r="I108" s="41"/>
      <c r="J108" s="41"/>
      <c r="K108" s="41"/>
      <c r="L108" s="41"/>
      <c r="M108" s="42">
        <v>100</v>
      </c>
      <c r="N108" s="46">
        <f t="shared" si="1"/>
        <v>0.09089603116018675</v>
      </c>
    </row>
    <row r="109" spans="2:14" ht="12.75">
      <c r="B109" s="13" t="s">
        <v>78</v>
      </c>
      <c r="D109" s="13" t="s">
        <v>77</v>
      </c>
      <c r="E109" s="42"/>
      <c r="F109" s="14">
        <f>F102+F100</f>
        <v>0.24087448257449495</v>
      </c>
      <c r="H109" s="41"/>
      <c r="I109" s="41"/>
      <c r="J109" s="41"/>
      <c r="K109" s="41"/>
      <c r="L109" s="41"/>
      <c r="M109" s="41"/>
      <c r="N109" s="46">
        <f>F109</f>
        <v>0.24087448257449495</v>
      </c>
    </row>
    <row r="110" spans="2:17" ht="12.75">
      <c r="B110" s="40" t="s">
        <v>79</v>
      </c>
      <c r="C110" s="40"/>
      <c r="D110" s="13" t="s">
        <v>77</v>
      </c>
      <c r="E110" s="42"/>
      <c r="F110" s="44">
        <f>F97+F101+F99</f>
        <v>0.34388998455603986</v>
      </c>
      <c r="H110" s="41"/>
      <c r="I110" s="41"/>
      <c r="J110" s="41"/>
      <c r="K110" s="41"/>
      <c r="L110" s="41"/>
      <c r="M110" s="41"/>
      <c r="N110" s="46">
        <f>F110</f>
        <v>0.34388998455603986</v>
      </c>
      <c r="P110" s="43"/>
      <c r="Q110" s="43"/>
    </row>
    <row r="111" spans="2:17" ht="12.75">
      <c r="B111" s="40"/>
      <c r="C111" s="40"/>
      <c r="D111" s="40"/>
      <c r="E111" s="42"/>
      <c r="F111" s="40"/>
      <c r="H111" s="41"/>
      <c r="I111" s="41"/>
      <c r="J111" s="41"/>
      <c r="K111" s="41"/>
      <c r="L111" s="41"/>
      <c r="M111" s="41"/>
      <c r="P111" s="14"/>
      <c r="Q111" s="14"/>
    </row>
    <row r="112" spans="6:13" ht="12.75">
      <c r="F112" s="14"/>
      <c r="H112" s="44"/>
      <c r="I112" s="44"/>
      <c r="J112" s="41"/>
      <c r="K112" s="41"/>
      <c r="L112" s="41"/>
      <c r="M112" s="41"/>
    </row>
    <row r="113" spans="2:14" ht="12.75">
      <c r="B113" s="39" t="s">
        <v>191</v>
      </c>
      <c r="C113" s="39" t="s">
        <v>130</v>
      </c>
      <c r="F113" s="41" t="s">
        <v>226</v>
      </c>
      <c r="H113" s="41" t="s">
        <v>226</v>
      </c>
      <c r="I113" s="41"/>
      <c r="J113" s="41" t="s">
        <v>226</v>
      </c>
      <c r="L113" s="41" t="s">
        <v>226</v>
      </c>
      <c r="N113" s="41"/>
    </row>
    <row r="114" spans="2:9" ht="12.75">
      <c r="B114" s="39"/>
      <c r="C114" s="39"/>
      <c r="H114" s="41"/>
      <c r="I114" s="41"/>
    </row>
    <row r="115" spans="2:12" ht="12.75">
      <c r="B115" s="13" t="s">
        <v>227</v>
      </c>
      <c r="C115" s="39"/>
      <c r="F115" s="13" t="s">
        <v>229</v>
      </c>
      <c r="H115" s="40" t="s">
        <v>230</v>
      </c>
      <c r="J115" s="40" t="s">
        <v>231</v>
      </c>
      <c r="L115" s="40" t="s">
        <v>232</v>
      </c>
    </row>
    <row r="116" spans="2:14" ht="12.75">
      <c r="B116" s="13" t="s">
        <v>228</v>
      </c>
      <c r="F116" s="41" t="s">
        <v>234</v>
      </c>
      <c r="H116" s="40" t="s">
        <v>235</v>
      </c>
      <c r="J116" s="40" t="s">
        <v>236</v>
      </c>
      <c r="L116" s="41" t="s">
        <v>30</v>
      </c>
      <c r="N116" s="41"/>
    </row>
    <row r="117" spans="2:14" ht="12.75">
      <c r="B117" s="13" t="s">
        <v>237</v>
      </c>
      <c r="F117" s="41" t="s">
        <v>88</v>
      </c>
      <c r="H117" s="40" t="s">
        <v>244</v>
      </c>
      <c r="L117" s="41" t="s">
        <v>30</v>
      </c>
      <c r="N117" s="41"/>
    </row>
    <row r="118" spans="2:17" ht="12.75">
      <c r="B118" s="13" t="s">
        <v>54</v>
      </c>
      <c r="F118" s="44" t="s">
        <v>172</v>
      </c>
      <c r="G118" s="16"/>
      <c r="H118" s="41" t="s">
        <v>179</v>
      </c>
      <c r="I118" s="41"/>
      <c r="J118" s="41" t="s">
        <v>180</v>
      </c>
      <c r="K118" s="41"/>
      <c r="L118" s="41" t="s">
        <v>30</v>
      </c>
      <c r="M118" s="41"/>
      <c r="P118" s="14"/>
      <c r="Q118" s="14"/>
    </row>
    <row r="119" spans="2:17" ht="12.75">
      <c r="B119" s="13" t="s">
        <v>133</v>
      </c>
      <c r="D119" s="13" t="s">
        <v>74</v>
      </c>
      <c r="F119" s="14">
        <v>5.23</v>
      </c>
      <c r="G119" s="16"/>
      <c r="P119" s="14"/>
      <c r="Q119" s="14"/>
    </row>
    <row r="120" spans="2:17" ht="12.75">
      <c r="B120" s="13" t="s">
        <v>133</v>
      </c>
      <c r="D120" s="13" t="s">
        <v>161</v>
      </c>
      <c r="F120" s="14"/>
      <c r="G120" s="16"/>
      <c r="H120" s="40">
        <v>15000</v>
      </c>
      <c r="J120" s="40">
        <v>56000</v>
      </c>
      <c r="P120" s="14"/>
      <c r="Q120" s="14"/>
    </row>
    <row r="121" spans="2:17" ht="12.75">
      <c r="B121" s="13" t="s">
        <v>55</v>
      </c>
      <c r="D121" s="13" t="s">
        <v>183</v>
      </c>
      <c r="F121" s="14"/>
      <c r="G121" s="16"/>
      <c r="H121" s="40">
        <v>1000</v>
      </c>
      <c r="P121" s="14"/>
      <c r="Q121" s="14"/>
    </row>
    <row r="122" spans="2:17" ht="12.75">
      <c r="B122" s="13" t="s">
        <v>132</v>
      </c>
      <c r="D122" s="13" t="s">
        <v>75</v>
      </c>
      <c r="F122" s="14"/>
      <c r="G122" s="16"/>
      <c r="H122" s="40">
        <f>H120*H121/1000000</f>
        <v>15</v>
      </c>
      <c r="L122" s="40">
        <f>H122</f>
        <v>15</v>
      </c>
      <c r="P122" s="14"/>
      <c r="Q122" s="14"/>
    </row>
    <row r="123" spans="2:17" ht="12.75">
      <c r="B123" s="13" t="s">
        <v>58</v>
      </c>
      <c r="D123" s="13" t="s">
        <v>64</v>
      </c>
      <c r="F123" s="14">
        <v>3500</v>
      </c>
      <c r="G123" s="16"/>
      <c r="P123" s="14"/>
      <c r="Q123" s="14"/>
    </row>
    <row r="124" spans="6:9" ht="12.75">
      <c r="F124" s="14"/>
      <c r="G124" s="16"/>
      <c r="H124" s="14"/>
      <c r="I124" s="14"/>
    </row>
    <row r="125" spans="2:13" ht="12.75">
      <c r="B125" s="13" t="s">
        <v>83</v>
      </c>
      <c r="D125" s="13" t="s">
        <v>22</v>
      </c>
      <c r="F125" s="34">
        <v>12581</v>
      </c>
      <c r="G125" s="17"/>
      <c r="J125" s="15"/>
      <c r="K125" s="15"/>
      <c r="L125" s="15"/>
      <c r="M125" s="15"/>
    </row>
    <row r="126" spans="2:6" ht="12.75">
      <c r="B126" s="13" t="s">
        <v>84</v>
      </c>
      <c r="D126" s="13" t="s">
        <v>23</v>
      </c>
      <c r="F126" s="34">
        <v>6.63</v>
      </c>
    </row>
    <row r="127" spans="6:9" ht="12.75">
      <c r="F127" s="14"/>
      <c r="H127" s="14"/>
      <c r="I127" s="14"/>
    </row>
    <row r="128" spans="2:12" ht="12.75">
      <c r="B128" s="13" t="s">
        <v>58</v>
      </c>
      <c r="D128" s="13" t="s">
        <v>77</v>
      </c>
      <c r="E128" s="42"/>
      <c r="F128" s="73">
        <f>F123*454/F125/0.0283/60*(21-7)/(21-F126)*1000000</f>
        <v>72467339.36219496</v>
      </c>
      <c r="G128" s="52"/>
      <c r="H128" s="73"/>
      <c r="I128" s="73"/>
      <c r="J128" s="48"/>
      <c r="K128" s="48"/>
      <c r="L128" s="48">
        <f>F128</f>
        <v>72467339.36219496</v>
      </c>
    </row>
    <row r="129" spans="5:9" ht="12.75">
      <c r="E129" s="42"/>
      <c r="F129" s="14"/>
      <c r="H129" s="14"/>
      <c r="I129" s="14"/>
    </row>
    <row r="130" spans="5:9" ht="12.75">
      <c r="E130" s="42"/>
      <c r="F130" s="14"/>
      <c r="H130" s="14"/>
      <c r="I130" s="14"/>
    </row>
    <row r="131" spans="6:9" ht="12.75">
      <c r="F131" s="14"/>
      <c r="H131" s="14"/>
      <c r="I131" s="14"/>
    </row>
    <row r="132" spans="6:9" ht="12.75">
      <c r="F132" s="14"/>
      <c r="H132" s="14"/>
      <c r="I132" s="14"/>
    </row>
    <row r="133" spans="6:9" ht="12.75">
      <c r="F133" s="14"/>
      <c r="H133" s="14"/>
      <c r="I133" s="14"/>
    </row>
    <row r="134" spans="6:9" ht="12.75">
      <c r="F134" s="14"/>
      <c r="H134" s="14"/>
      <c r="I134" s="14"/>
    </row>
    <row r="135" spans="6:9" ht="12.75">
      <c r="F135" s="14"/>
      <c r="H135" s="14"/>
      <c r="I135" s="14"/>
    </row>
    <row r="136" spans="6:9" ht="12.75">
      <c r="F136" s="14"/>
      <c r="H136" s="14"/>
      <c r="I136" s="14"/>
    </row>
    <row r="137" spans="6:9" ht="12.75">
      <c r="F137" s="14"/>
      <c r="H137" s="14"/>
      <c r="I137" s="14"/>
    </row>
    <row r="138" spans="6:9" ht="12.75">
      <c r="F138" s="14"/>
      <c r="H138" s="14"/>
      <c r="I138" s="14"/>
    </row>
    <row r="139" spans="6:9" ht="12.75">
      <c r="F139" s="14"/>
      <c r="G139" s="14"/>
      <c r="H139" s="14"/>
      <c r="I139" s="14"/>
    </row>
    <row r="140" spans="6:9" ht="12.75">
      <c r="F140" s="14"/>
      <c r="G140" s="14"/>
      <c r="H140" s="14"/>
      <c r="I140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">
      <selection activeCell="D3" sqref="D3"/>
    </sheetView>
  </sheetViews>
  <sheetFormatPr defaultColWidth="9.140625" defaultRowHeight="12.75"/>
  <cols>
    <col min="1" max="1" width="9.140625" style="0" hidden="1" customWidth="1"/>
    <col min="2" max="2" width="27.28125" style="0" bestFit="1" customWidth="1"/>
    <col min="4" max="4" width="12.28125" style="0" customWidth="1"/>
    <col min="5" max="5" width="12.421875" style="0" customWidth="1"/>
  </cols>
  <sheetData>
    <row r="1" spans="2:5" ht="12.75">
      <c r="B1" s="7" t="s">
        <v>91</v>
      </c>
      <c r="C1" s="18"/>
      <c r="D1" s="18"/>
      <c r="E1" s="18"/>
    </row>
    <row r="2" spans="2:6" ht="12.75">
      <c r="B2" s="18"/>
      <c r="C2" s="18"/>
      <c r="D2" s="60" t="s">
        <v>162</v>
      </c>
      <c r="E2" s="60" t="s">
        <v>69</v>
      </c>
      <c r="F2" s="72" t="s">
        <v>163</v>
      </c>
    </row>
    <row r="3" spans="1:5" ht="12.75">
      <c r="A3" t="s">
        <v>131</v>
      </c>
      <c r="B3" s="7" t="s">
        <v>188</v>
      </c>
      <c r="C3" s="18" t="s">
        <v>129</v>
      </c>
      <c r="D3" s="18"/>
      <c r="E3" s="18"/>
    </row>
    <row r="4" spans="2:3" ht="12.75">
      <c r="B4" s="18"/>
      <c r="C4" s="18"/>
    </row>
    <row r="5" spans="2:6" ht="14.25">
      <c r="B5" s="18" t="s">
        <v>181</v>
      </c>
      <c r="C5" s="8" t="s">
        <v>72</v>
      </c>
      <c r="D5" s="18">
        <v>2126</v>
      </c>
      <c r="E5" s="18">
        <v>2121</v>
      </c>
      <c r="F5">
        <v>2125</v>
      </c>
    </row>
    <row r="6" spans="2:6" ht="12.75">
      <c r="B6" s="18" t="s">
        <v>164</v>
      </c>
      <c r="C6" s="18" t="s">
        <v>161</v>
      </c>
      <c r="D6" s="18">
        <v>831214</v>
      </c>
      <c r="E6" s="18">
        <v>808168</v>
      </c>
      <c r="F6">
        <v>807589</v>
      </c>
    </row>
    <row r="7" spans="2:6" ht="12.75">
      <c r="B7" s="18" t="s">
        <v>165</v>
      </c>
      <c r="C7" s="18" t="s">
        <v>74</v>
      </c>
      <c r="D7" s="18">
        <v>288.43</v>
      </c>
      <c r="E7" s="18">
        <v>293.45</v>
      </c>
      <c r="F7">
        <v>291.75</v>
      </c>
    </row>
    <row r="8" spans="2:6" ht="12.75">
      <c r="B8" s="18" t="s">
        <v>166</v>
      </c>
      <c r="C8" s="18" t="s">
        <v>73</v>
      </c>
      <c r="D8" s="18">
        <v>8.89</v>
      </c>
      <c r="E8" s="18">
        <v>8.88</v>
      </c>
      <c r="F8">
        <v>8.9</v>
      </c>
    </row>
    <row r="9" spans="2:6" ht="12.75">
      <c r="B9" s="18" t="s">
        <v>167</v>
      </c>
      <c r="C9" s="18" t="s">
        <v>74</v>
      </c>
      <c r="D9" s="18">
        <v>60.74</v>
      </c>
      <c r="E9" s="18">
        <v>73.3</v>
      </c>
      <c r="F9">
        <v>71.27</v>
      </c>
    </row>
    <row r="10" spans="2:5" ht="12.75">
      <c r="B10" s="18"/>
      <c r="C10" s="18"/>
      <c r="D10" s="18"/>
      <c r="E10" s="18"/>
    </row>
    <row r="11" spans="1:5" ht="12.75">
      <c r="A11" t="s">
        <v>131</v>
      </c>
      <c r="B11" s="7" t="s">
        <v>189</v>
      </c>
      <c r="C11" s="18" t="s">
        <v>129</v>
      </c>
      <c r="D11" s="18"/>
      <c r="E11" s="18"/>
    </row>
    <row r="12" spans="2:5" ht="12.75">
      <c r="B12" s="18"/>
      <c r="C12" s="18"/>
      <c r="D12" s="18"/>
      <c r="E12" s="18"/>
    </row>
    <row r="13" spans="2:6" ht="14.25">
      <c r="B13" s="18" t="s">
        <v>181</v>
      </c>
      <c r="C13" s="8" t="s">
        <v>72</v>
      </c>
      <c r="D13" s="47">
        <v>23332</v>
      </c>
      <c r="E13" s="18">
        <v>2344</v>
      </c>
      <c r="F13">
        <v>2324</v>
      </c>
    </row>
    <row r="14" spans="2:6" ht="12.75">
      <c r="B14" s="18" t="s">
        <v>164</v>
      </c>
      <c r="C14" s="18" t="s">
        <v>161</v>
      </c>
      <c r="D14" s="47">
        <v>895038</v>
      </c>
      <c r="E14" s="18">
        <v>898531</v>
      </c>
      <c r="F14">
        <v>900618</v>
      </c>
    </row>
    <row r="15" spans="2:6" ht="12.75">
      <c r="B15" s="18" t="s">
        <v>165</v>
      </c>
      <c r="C15" s="18" t="s">
        <v>74</v>
      </c>
      <c r="D15" s="18">
        <v>286.89</v>
      </c>
      <c r="E15" s="18">
        <v>283.12</v>
      </c>
      <c r="F15">
        <v>282.68</v>
      </c>
    </row>
    <row r="16" spans="2:6" ht="12.75">
      <c r="B16" s="18" t="s">
        <v>166</v>
      </c>
      <c r="C16" s="18" t="s">
        <v>73</v>
      </c>
      <c r="D16" s="18">
        <v>8.89</v>
      </c>
      <c r="E16" s="18">
        <v>8.9</v>
      </c>
      <c r="F16">
        <v>8.91</v>
      </c>
    </row>
    <row r="17" spans="2:6" ht="12.75">
      <c r="B17" s="18" t="s">
        <v>167</v>
      </c>
      <c r="C17" s="18" t="s">
        <v>74</v>
      </c>
      <c r="D17" s="18">
        <v>73.15</v>
      </c>
      <c r="E17" s="18">
        <v>73.5</v>
      </c>
      <c r="F17">
        <v>70.74</v>
      </c>
    </row>
    <row r="19" spans="2:3" ht="12.75">
      <c r="B19" s="7" t="s">
        <v>190</v>
      </c>
      <c r="C19" s="18" t="s">
        <v>129</v>
      </c>
    </row>
    <row r="20" spans="2:3" ht="12.75">
      <c r="B20" s="18"/>
      <c r="C20" s="18"/>
    </row>
    <row r="21" spans="2:6" ht="14.25">
      <c r="B21" s="18" t="s">
        <v>181</v>
      </c>
      <c r="C21" s="8" t="s">
        <v>72</v>
      </c>
      <c r="D21">
        <v>2288</v>
      </c>
      <c r="E21">
        <v>2289</v>
      </c>
      <c r="F21">
        <v>2290</v>
      </c>
    </row>
    <row r="22" spans="2:6" ht="12.75">
      <c r="B22" s="18" t="s">
        <v>164</v>
      </c>
      <c r="C22" s="18" t="s">
        <v>161</v>
      </c>
      <c r="D22">
        <v>841346</v>
      </c>
      <c r="E22">
        <v>841535</v>
      </c>
      <c r="F22">
        <v>840900</v>
      </c>
    </row>
    <row r="23" spans="2:6" ht="12.75">
      <c r="B23" s="18" t="s">
        <v>165</v>
      </c>
      <c r="C23" s="18" t="s">
        <v>74</v>
      </c>
      <c r="D23">
        <v>284.36</v>
      </c>
      <c r="E23">
        <v>281.01</v>
      </c>
      <c r="F23">
        <v>277.24</v>
      </c>
    </row>
    <row r="24" spans="2:6" ht="12.75">
      <c r="B24" s="18" t="s">
        <v>166</v>
      </c>
      <c r="C24" s="18" t="s">
        <v>73</v>
      </c>
      <c r="D24">
        <v>8.9</v>
      </c>
      <c r="E24">
        <v>8.9</v>
      </c>
      <c r="F24">
        <v>8.91</v>
      </c>
    </row>
    <row r="25" spans="2:6" ht="12.75">
      <c r="B25" s="18" t="s">
        <v>167</v>
      </c>
      <c r="C25" s="18" t="s">
        <v>74</v>
      </c>
      <c r="D25">
        <v>66.29</v>
      </c>
      <c r="E25">
        <v>67.92</v>
      </c>
      <c r="F25">
        <v>66.84</v>
      </c>
    </row>
    <row r="27" spans="2:3" ht="12.75">
      <c r="B27" s="7" t="s">
        <v>191</v>
      </c>
      <c r="C27" s="18" t="s">
        <v>130</v>
      </c>
    </row>
    <row r="28" spans="2:3" ht="12.75">
      <c r="B28" s="18"/>
      <c r="C28" s="18"/>
    </row>
    <row r="29" spans="2:6" ht="14.25">
      <c r="B29" s="18" t="s">
        <v>181</v>
      </c>
      <c r="C29" s="8" t="s">
        <v>72</v>
      </c>
      <c r="D29">
        <v>2320</v>
      </c>
      <c r="E29">
        <v>2321</v>
      </c>
      <c r="F29">
        <v>2312</v>
      </c>
    </row>
    <row r="30" spans="2:6" ht="12.75">
      <c r="B30" s="18" t="s">
        <v>164</v>
      </c>
      <c r="C30" s="18" t="s">
        <v>161</v>
      </c>
      <c r="D30">
        <v>800479</v>
      </c>
      <c r="E30">
        <v>798406</v>
      </c>
      <c r="F30">
        <v>801755</v>
      </c>
    </row>
    <row r="31" spans="2:6" ht="12.75">
      <c r="B31" s="18" t="s">
        <v>165</v>
      </c>
      <c r="C31" s="18" t="s">
        <v>74</v>
      </c>
      <c r="D31">
        <v>275.4</v>
      </c>
      <c r="E31">
        <v>276.57</v>
      </c>
      <c r="F31">
        <v>271.39</v>
      </c>
    </row>
    <row r="32" spans="2:6" ht="12.75">
      <c r="B32" s="18" t="s">
        <v>166</v>
      </c>
      <c r="C32" s="18" t="s">
        <v>73</v>
      </c>
      <c r="D32">
        <v>8.9</v>
      </c>
      <c r="E32">
        <v>8.9</v>
      </c>
      <c r="F32">
        <v>8.89</v>
      </c>
    </row>
    <row r="33" spans="2:6" ht="12.75">
      <c r="B33" s="18" t="s">
        <v>167</v>
      </c>
      <c r="C33" s="18" t="s">
        <v>74</v>
      </c>
      <c r="D33">
        <v>48.75</v>
      </c>
      <c r="E33">
        <v>52.59</v>
      </c>
      <c r="F33">
        <v>45.97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36" sqref="A3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4.7109375" style="0" customWidth="1"/>
    <col min="5" max="5" width="9.421875" style="5" customWidth="1"/>
    <col min="6" max="6" width="9.8515625" style="5" customWidth="1"/>
    <col min="7" max="7" width="10.7109375" style="5" customWidth="1"/>
    <col min="8" max="8" width="9.8515625" style="5" customWidth="1"/>
    <col min="9" max="9" width="3.421875" style="0" customWidth="1"/>
    <col min="11" max="11" width="9.28125" style="0" customWidth="1"/>
    <col min="13" max="13" width="9.28125" style="0" customWidth="1"/>
    <col min="14" max="14" width="5.14062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93</v>
      </c>
      <c r="B1" s="40"/>
      <c r="C1" s="40"/>
      <c r="D1" s="40"/>
      <c r="E1" s="43"/>
      <c r="F1" s="43"/>
      <c r="G1" s="43"/>
      <c r="H1" s="43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0" t="s">
        <v>243</v>
      </c>
      <c r="B2" s="40"/>
      <c r="C2" s="40"/>
      <c r="D2" s="40"/>
      <c r="E2" s="43"/>
      <c r="F2" s="43"/>
      <c r="G2" s="43"/>
      <c r="H2" s="43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0" t="s">
        <v>25</v>
      </c>
      <c r="B3" s="40"/>
      <c r="C3" s="13" t="s">
        <v>155</v>
      </c>
      <c r="D3" s="13"/>
      <c r="E3" s="43"/>
      <c r="F3" s="43"/>
      <c r="G3" s="43"/>
      <c r="H3" s="43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0" t="s">
        <v>26</v>
      </c>
      <c r="B4" s="40"/>
      <c r="C4" s="13" t="s">
        <v>188</v>
      </c>
      <c r="D4" s="13"/>
      <c r="E4" s="62"/>
      <c r="F4" s="16"/>
      <c r="G4" s="62"/>
      <c r="H4" s="16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40" t="s">
        <v>27</v>
      </c>
      <c r="B5" s="40"/>
      <c r="C5" s="18" t="str">
        <f>cond!C10</f>
        <v>Trial burn, min comb temp</v>
      </c>
      <c r="D5" s="18"/>
      <c r="E5" s="47"/>
      <c r="F5" s="47"/>
      <c r="G5" s="47"/>
      <c r="H5" s="47"/>
      <c r="I5" s="18"/>
      <c r="J5" s="18"/>
      <c r="K5" s="48"/>
      <c r="L5" s="18"/>
      <c r="M5" s="48"/>
      <c r="N5" s="48"/>
      <c r="O5" s="48"/>
      <c r="P5" s="48"/>
      <c r="Q5" s="48"/>
      <c r="R5" s="48"/>
    </row>
    <row r="6" spans="1:18" ht="12.75">
      <c r="A6" s="40"/>
      <c r="B6" s="40"/>
      <c r="C6" s="42"/>
      <c r="D6" s="42"/>
      <c r="E6" s="16"/>
      <c r="F6" s="43"/>
      <c r="G6" s="16"/>
      <c r="H6" s="43"/>
      <c r="I6" s="48"/>
      <c r="J6" s="52"/>
      <c r="K6" s="48"/>
      <c r="L6" s="52"/>
      <c r="M6" s="48"/>
      <c r="N6" s="48"/>
      <c r="O6" s="52"/>
      <c r="P6" s="48"/>
      <c r="Q6" s="52"/>
      <c r="R6" s="48"/>
    </row>
    <row r="7" spans="1:18" s="71" customFormat="1" ht="12.75">
      <c r="A7" s="40"/>
      <c r="B7" s="40"/>
      <c r="C7" s="42" t="s">
        <v>28</v>
      </c>
      <c r="D7" s="42"/>
      <c r="E7" s="63" t="s">
        <v>68</v>
      </c>
      <c r="F7" s="63"/>
      <c r="G7" s="63"/>
      <c r="H7" s="63"/>
      <c r="I7" s="17"/>
      <c r="J7" s="53" t="s">
        <v>69</v>
      </c>
      <c r="K7" s="53"/>
      <c r="L7" s="53"/>
      <c r="M7" s="53"/>
      <c r="N7" s="17"/>
      <c r="O7" s="53" t="s">
        <v>70</v>
      </c>
      <c r="P7" s="53"/>
      <c r="Q7" s="53"/>
      <c r="R7" s="53"/>
    </row>
    <row r="8" spans="1:18" s="71" customFormat="1" ht="12.75">
      <c r="A8" s="40"/>
      <c r="B8" s="40"/>
      <c r="C8" s="42" t="s">
        <v>29</v>
      </c>
      <c r="D8" s="40"/>
      <c r="E8" s="16" t="s">
        <v>30</v>
      </c>
      <c r="F8" s="16" t="s">
        <v>31</v>
      </c>
      <c r="G8" s="16" t="s">
        <v>30</v>
      </c>
      <c r="H8" s="16" t="s">
        <v>31</v>
      </c>
      <c r="I8" s="48"/>
      <c r="J8" s="52" t="s">
        <v>30</v>
      </c>
      <c r="K8" s="52" t="s">
        <v>32</v>
      </c>
      <c r="L8" s="52" t="s">
        <v>30</v>
      </c>
      <c r="M8" s="52" t="s">
        <v>32</v>
      </c>
      <c r="N8" s="48"/>
      <c r="O8" s="52" t="s">
        <v>30</v>
      </c>
      <c r="P8" s="52" t="s">
        <v>32</v>
      </c>
      <c r="Q8" s="52" t="s">
        <v>30</v>
      </c>
      <c r="R8" s="52" t="s">
        <v>32</v>
      </c>
    </row>
    <row r="9" spans="1:18" s="71" customFormat="1" ht="12.75">
      <c r="A9" s="40"/>
      <c r="B9" s="40"/>
      <c r="C9" s="42"/>
      <c r="D9" s="40"/>
      <c r="E9" s="52" t="s">
        <v>238</v>
      </c>
      <c r="F9" s="52" t="s">
        <v>238</v>
      </c>
      <c r="G9" s="16" t="s">
        <v>92</v>
      </c>
      <c r="H9" s="16" t="s">
        <v>92</v>
      </c>
      <c r="I9" s="48"/>
      <c r="J9" s="52" t="s">
        <v>238</v>
      </c>
      <c r="K9" s="52" t="s">
        <v>238</v>
      </c>
      <c r="L9" s="52" t="s">
        <v>92</v>
      </c>
      <c r="M9" s="51" t="s">
        <v>92</v>
      </c>
      <c r="N9" s="48"/>
      <c r="O9" s="52" t="s">
        <v>238</v>
      </c>
      <c r="P9" s="52" t="s">
        <v>238</v>
      </c>
      <c r="Q9" s="52" t="s">
        <v>92</v>
      </c>
      <c r="R9" s="51" t="s">
        <v>92</v>
      </c>
    </row>
    <row r="10" spans="1:18" ht="12.75">
      <c r="A10" s="40" t="s">
        <v>66</v>
      </c>
      <c r="B10" s="40"/>
      <c r="C10" s="40"/>
      <c r="D10" s="40"/>
      <c r="E10" s="43"/>
      <c r="F10" s="43"/>
      <c r="G10" s="43"/>
      <c r="H10" s="43"/>
      <c r="I10" s="48"/>
      <c r="J10" s="48"/>
      <c r="K10" s="48"/>
      <c r="L10" s="48"/>
      <c r="M10" s="48"/>
      <c r="N10" s="48"/>
      <c r="O10" s="43"/>
      <c r="P10" s="48"/>
      <c r="Q10" s="48"/>
      <c r="R10" s="48"/>
    </row>
    <row r="11" spans="1:18" ht="12.75">
      <c r="A11" s="40"/>
      <c r="B11" s="40" t="s">
        <v>33</v>
      </c>
      <c r="C11" s="42">
        <v>1</v>
      </c>
      <c r="D11" s="42" t="s">
        <v>34</v>
      </c>
      <c r="E11" s="43">
        <v>3.8</v>
      </c>
      <c r="F11" s="43">
        <f>IF(E11="","",E11*$C11)</f>
        <v>3.8</v>
      </c>
      <c r="G11" s="43">
        <f>IF(E11=0,"",IF(D11="nd",E11/2,E11))</f>
        <v>1.9</v>
      </c>
      <c r="H11" s="43">
        <f>IF(G11="","",G11*$C11)</f>
        <v>1.9</v>
      </c>
      <c r="I11" s="49" t="s">
        <v>34</v>
      </c>
      <c r="J11" s="18">
        <v>4.1</v>
      </c>
      <c r="K11" s="43">
        <f>IF(J11="","",J11*$C11)</f>
        <v>4.1</v>
      </c>
      <c r="L11" s="43">
        <f>IF(J11=0,"",IF(I11="nd",J11/2,J11))</f>
        <v>2.05</v>
      </c>
      <c r="M11" s="43">
        <f>IF(L11="","",L11*$C11)</f>
        <v>2.05</v>
      </c>
      <c r="N11" s="49" t="s">
        <v>34</v>
      </c>
      <c r="O11" s="43">
        <v>4.2</v>
      </c>
      <c r="P11" s="43">
        <f>IF(O11="","",O11*$C11)</f>
        <v>4.2</v>
      </c>
      <c r="Q11" s="43">
        <f aca="true" t="shared" si="0" ref="Q11:Q35">IF(O11=0,"",IF(N11="nd",O11/2,O11))</f>
        <v>2.1</v>
      </c>
      <c r="R11" s="43">
        <f>IF(Q11="","",Q11*$C11)</f>
        <v>2.1</v>
      </c>
    </row>
    <row r="12" spans="1:18" ht="12.75">
      <c r="A12" s="40"/>
      <c r="B12" s="40" t="s">
        <v>135</v>
      </c>
      <c r="C12" s="42">
        <v>0</v>
      </c>
      <c r="D12" s="42" t="s">
        <v>34</v>
      </c>
      <c r="E12" s="43">
        <v>3.8</v>
      </c>
      <c r="F12" s="43">
        <f aca="true" t="shared" si="1" ref="F12:H35">IF(E12="","",E12*$C12)</f>
        <v>0</v>
      </c>
      <c r="G12" s="43">
        <f aca="true" t="shared" si="2" ref="G12:G35">IF(E12=0,"",IF(D12="nd",E12/2,E12))</f>
        <v>1.9</v>
      </c>
      <c r="H12" s="43">
        <f t="shared" si="1"/>
        <v>0</v>
      </c>
      <c r="I12" s="49" t="s">
        <v>34</v>
      </c>
      <c r="J12" s="33">
        <v>4.1</v>
      </c>
      <c r="K12" s="43">
        <f aca="true" t="shared" si="3" ref="K12:M35">IF(J12="","",J12*$C12)</f>
        <v>0</v>
      </c>
      <c r="L12" s="43">
        <f aca="true" t="shared" si="4" ref="L12:L35">IF(J12=0,"",IF(I12="nd",J12/2,J12))</f>
        <v>2.05</v>
      </c>
      <c r="M12" s="43">
        <f t="shared" si="3"/>
        <v>0</v>
      </c>
      <c r="N12" s="49" t="s">
        <v>34</v>
      </c>
      <c r="O12" s="43">
        <v>4.2</v>
      </c>
      <c r="P12" s="43">
        <f aca="true" t="shared" si="5" ref="P12:R35">IF(O12="","",O12*$C12)</f>
        <v>0</v>
      </c>
      <c r="Q12" s="43">
        <f t="shared" si="0"/>
        <v>2.1</v>
      </c>
      <c r="R12" s="43">
        <f t="shared" si="5"/>
        <v>0</v>
      </c>
    </row>
    <row r="13" spans="1:18" ht="12.75">
      <c r="A13" s="40"/>
      <c r="B13" s="40" t="s">
        <v>35</v>
      </c>
      <c r="C13" s="42">
        <v>0.5</v>
      </c>
      <c r="D13" s="42" t="s">
        <v>34</v>
      </c>
      <c r="E13" s="43">
        <v>5.8</v>
      </c>
      <c r="F13" s="43">
        <f t="shared" si="1"/>
        <v>2.9</v>
      </c>
      <c r="G13" s="43">
        <f t="shared" si="2"/>
        <v>2.9</v>
      </c>
      <c r="H13" s="43">
        <f t="shared" si="1"/>
        <v>1.45</v>
      </c>
      <c r="I13" s="49" t="s">
        <v>34</v>
      </c>
      <c r="J13" s="18">
        <v>6.8</v>
      </c>
      <c r="K13" s="43">
        <f t="shared" si="3"/>
        <v>3.4</v>
      </c>
      <c r="L13" s="43">
        <f t="shared" si="4"/>
        <v>3.4</v>
      </c>
      <c r="M13" s="43">
        <f t="shared" si="3"/>
        <v>1.7</v>
      </c>
      <c r="N13" s="49" t="s">
        <v>34</v>
      </c>
      <c r="O13" s="47">
        <v>8.6</v>
      </c>
      <c r="P13" s="43">
        <f t="shared" si="5"/>
        <v>4.3</v>
      </c>
      <c r="Q13" s="43">
        <f t="shared" si="0"/>
        <v>4.3</v>
      </c>
      <c r="R13" s="43">
        <f t="shared" si="5"/>
        <v>2.15</v>
      </c>
    </row>
    <row r="14" spans="1:18" ht="12.75">
      <c r="A14" s="40"/>
      <c r="B14" s="40" t="s">
        <v>136</v>
      </c>
      <c r="C14" s="42">
        <v>0</v>
      </c>
      <c r="D14" s="42" t="s">
        <v>34</v>
      </c>
      <c r="E14" s="43">
        <v>5.8</v>
      </c>
      <c r="F14" s="43">
        <f t="shared" si="1"/>
        <v>0</v>
      </c>
      <c r="G14" s="43">
        <f t="shared" si="2"/>
        <v>2.9</v>
      </c>
      <c r="H14" s="43">
        <f t="shared" si="1"/>
        <v>0</v>
      </c>
      <c r="I14" s="49" t="s">
        <v>34</v>
      </c>
      <c r="J14" s="18">
        <v>6.8</v>
      </c>
      <c r="K14" s="43">
        <f t="shared" si="3"/>
        <v>0</v>
      </c>
      <c r="L14" s="43">
        <f t="shared" si="4"/>
        <v>3.4</v>
      </c>
      <c r="M14" s="43">
        <f t="shared" si="3"/>
        <v>0</v>
      </c>
      <c r="N14" s="49" t="s">
        <v>34</v>
      </c>
      <c r="O14" s="47">
        <v>30.5</v>
      </c>
      <c r="P14" s="43">
        <f t="shared" si="5"/>
        <v>0</v>
      </c>
      <c r="Q14" s="43">
        <f t="shared" si="0"/>
        <v>15.25</v>
      </c>
      <c r="R14" s="43">
        <f t="shared" si="5"/>
        <v>0</v>
      </c>
    </row>
    <row r="15" spans="1:18" ht="12.75">
      <c r="A15" s="40"/>
      <c r="B15" s="40" t="s">
        <v>36</v>
      </c>
      <c r="C15" s="42">
        <v>0.1</v>
      </c>
      <c r="D15" s="42" t="s">
        <v>34</v>
      </c>
      <c r="E15" s="43">
        <v>12.1</v>
      </c>
      <c r="F15" s="43">
        <f t="shared" si="1"/>
        <v>1.21</v>
      </c>
      <c r="G15" s="43">
        <f t="shared" si="2"/>
        <v>6.05</v>
      </c>
      <c r="H15" s="43">
        <f t="shared" si="1"/>
        <v>0.605</v>
      </c>
      <c r="I15" s="49" t="s">
        <v>34</v>
      </c>
      <c r="J15" s="18">
        <v>10.6</v>
      </c>
      <c r="K15" s="43">
        <f t="shared" si="3"/>
        <v>1.06</v>
      </c>
      <c r="L15" s="43">
        <f t="shared" si="4"/>
        <v>5.3</v>
      </c>
      <c r="M15" s="43">
        <f t="shared" si="3"/>
        <v>0.53</v>
      </c>
      <c r="N15" s="49" t="s">
        <v>34</v>
      </c>
      <c r="O15" s="47">
        <v>10.8</v>
      </c>
      <c r="P15" s="43">
        <f t="shared" si="5"/>
        <v>1.08</v>
      </c>
      <c r="Q15" s="43">
        <f t="shared" si="0"/>
        <v>5.4</v>
      </c>
      <c r="R15" s="43">
        <f t="shared" si="5"/>
        <v>0.54</v>
      </c>
    </row>
    <row r="16" spans="1:18" ht="12.75">
      <c r="A16" s="40"/>
      <c r="B16" s="40" t="s">
        <v>37</v>
      </c>
      <c r="C16" s="42">
        <v>0.1</v>
      </c>
      <c r="D16" s="42" t="s">
        <v>34</v>
      </c>
      <c r="E16" s="43">
        <v>13.1</v>
      </c>
      <c r="F16" s="43">
        <f t="shared" si="1"/>
        <v>1.31</v>
      </c>
      <c r="G16" s="43">
        <f t="shared" si="2"/>
        <v>6.55</v>
      </c>
      <c r="H16" s="43">
        <f t="shared" si="1"/>
        <v>0.655</v>
      </c>
      <c r="I16" s="49" t="s">
        <v>34</v>
      </c>
      <c r="J16" s="18">
        <v>11.5</v>
      </c>
      <c r="K16" s="43">
        <f t="shared" si="3"/>
        <v>1.1500000000000001</v>
      </c>
      <c r="L16" s="43">
        <f t="shared" si="4"/>
        <v>5.75</v>
      </c>
      <c r="M16" s="43">
        <f t="shared" si="3"/>
        <v>0.5750000000000001</v>
      </c>
      <c r="N16" s="49" t="s">
        <v>34</v>
      </c>
      <c r="O16" s="47">
        <v>11.7</v>
      </c>
      <c r="P16" s="43">
        <f t="shared" si="5"/>
        <v>1.17</v>
      </c>
      <c r="Q16" s="43">
        <f t="shared" si="0"/>
        <v>5.85</v>
      </c>
      <c r="R16" s="43">
        <f t="shared" si="5"/>
        <v>0.585</v>
      </c>
    </row>
    <row r="17" spans="1:18" ht="12.75">
      <c r="A17" s="40"/>
      <c r="B17" s="40" t="s">
        <v>38</v>
      </c>
      <c r="C17" s="42">
        <v>0.1</v>
      </c>
      <c r="D17" s="42" t="s">
        <v>34</v>
      </c>
      <c r="E17" s="43">
        <v>11.8</v>
      </c>
      <c r="F17" s="43">
        <f t="shared" si="1"/>
        <v>1.1800000000000002</v>
      </c>
      <c r="G17" s="43">
        <f t="shared" si="2"/>
        <v>5.9</v>
      </c>
      <c r="H17" s="43">
        <f t="shared" si="1"/>
        <v>0.5900000000000001</v>
      </c>
      <c r="I17" s="49" t="s">
        <v>34</v>
      </c>
      <c r="J17" s="18">
        <v>10.4</v>
      </c>
      <c r="K17" s="43">
        <f t="shared" si="3"/>
        <v>1.04</v>
      </c>
      <c r="L17" s="43">
        <f t="shared" si="4"/>
        <v>5.2</v>
      </c>
      <c r="M17" s="43">
        <f t="shared" si="3"/>
        <v>0.52</v>
      </c>
      <c r="N17" s="49" t="s">
        <v>34</v>
      </c>
      <c r="O17" s="47">
        <v>575.8</v>
      </c>
      <c r="P17" s="43">
        <f t="shared" si="5"/>
        <v>57.58</v>
      </c>
      <c r="Q17" s="43">
        <f t="shared" si="0"/>
        <v>287.9</v>
      </c>
      <c r="R17" s="43">
        <f t="shared" si="5"/>
        <v>28.79</v>
      </c>
    </row>
    <row r="18" spans="1:18" ht="12.75">
      <c r="A18" s="40"/>
      <c r="B18" s="40" t="s">
        <v>137</v>
      </c>
      <c r="C18" s="42">
        <v>0</v>
      </c>
      <c r="D18" s="42" t="s">
        <v>34</v>
      </c>
      <c r="E18" s="43">
        <v>12.3</v>
      </c>
      <c r="F18" s="43">
        <f t="shared" si="1"/>
        <v>0</v>
      </c>
      <c r="G18" s="43">
        <f t="shared" si="2"/>
        <v>6.15</v>
      </c>
      <c r="H18" s="43">
        <f t="shared" si="1"/>
        <v>0</v>
      </c>
      <c r="I18" s="49" t="s">
        <v>34</v>
      </c>
      <c r="J18" s="18">
        <v>10.8</v>
      </c>
      <c r="K18" s="43">
        <f t="shared" si="3"/>
        <v>0</v>
      </c>
      <c r="L18" s="43">
        <f t="shared" si="4"/>
        <v>5.4</v>
      </c>
      <c r="M18" s="43">
        <f t="shared" si="3"/>
        <v>0</v>
      </c>
      <c r="N18" s="49" t="s">
        <v>34</v>
      </c>
      <c r="O18" s="47">
        <v>11</v>
      </c>
      <c r="P18" s="43">
        <f t="shared" si="5"/>
        <v>0</v>
      </c>
      <c r="Q18" s="43">
        <f t="shared" si="0"/>
        <v>5.5</v>
      </c>
      <c r="R18" s="43">
        <f t="shared" si="5"/>
        <v>0</v>
      </c>
    </row>
    <row r="19" spans="1:18" ht="12.75">
      <c r="A19" s="40"/>
      <c r="B19" s="40" t="s">
        <v>39</v>
      </c>
      <c r="C19" s="42">
        <v>0.01</v>
      </c>
      <c r="D19" s="42"/>
      <c r="E19" s="43">
        <v>36.9</v>
      </c>
      <c r="F19" s="43">
        <f t="shared" si="1"/>
        <v>0.369</v>
      </c>
      <c r="G19" s="43">
        <f t="shared" si="2"/>
        <v>36.9</v>
      </c>
      <c r="H19" s="43">
        <f t="shared" si="1"/>
        <v>0.369</v>
      </c>
      <c r="I19" s="49"/>
      <c r="J19" s="18">
        <v>32.9</v>
      </c>
      <c r="K19" s="43">
        <f t="shared" si="3"/>
        <v>0.329</v>
      </c>
      <c r="L19" s="43">
        <f t="shared" si="4"/>
        <v>32.9</v>
      </c>
      <c r="M19" s="43">
        <f t="shared" si="3"/>
        <v>0.329</v>
      </c>
      <c r="N19" s="49"/>
      <c r="O19" s="47">
        <v>32.4</v>
      </c>
      <c r="P19" s="43">
        <f t="shared" si="5"/>
        <v>0.324</v>
      </c>
      <c r="Q19" s="43">
        <f t="shared" si="0"/>
        <v>32.4</v>
      </c>
      <c r="R19" s="43">
        <f t="shared" si="5"/>
        <v>0.324</v>
      </c>
    </row>
    <row r="20" spans="1:18" ht="12.75">
      <c r="A20" s="40"/>
      <c r="B20" s="40" t="s">
        <v>138</v>
      </c>
      <c r="C20" s="42">
        <v>0</v>
      </c>
      <c r="D20" s="42"/>
      <c r="E20" s="43">
        <v>63.3</v>
      </c>
      <c r="F20" s="43">
        <f t="shared" si="1"/>
        <v>0</v>
      </c>
      <c r="G20" s="43">
        <f t="shared" si="2"/>
        <v>63.3</v>
      </c>
      <c r="H20" s="43">
        <f t="shared" si="1"/>
        <v>0</v>
      </c>
      <c r="I20" s="49"/>
      <c r="J20" s="18">
        <v>46.1</v>
      </c>
      <c r="K20" s="43">
        <f t="shared" si="3"/>
        <v>0</v>
      </c>
      <c r="L20" s="43">
        <f t="shared" si="4"/>
        <v>46.1</v>
      </c>
      <c r="M20" s="43">
        <f t="shared" si="3"/>
        <v>0</v>
      </c>
      <c r="N20" s="49"/>
      <c r="O20" s="47">
        <v>51.8</v>
      </c>
      <c r="P20" s="43">
        <f t="shared" si="5"/>
        <v>0</v>
      </c>
      <c r="Q20" s="43">
        <f t="shared" si="0"/>
        <v>51.8</v>
      </c>
      <c r="R20" s="43">
        <f t="shared" si="5"/>
        <v>0</v>
      </c>
    </row>
    <row r="21" spans="1:18" ht="12.75">
      <c r="A21" s="40"/>
      <c r="B21" s="40" t="s">
        <v>40</v>
      </c>
      <c r="C21" s="42">
        <v>0.001</v>
      </c>
      <c r="D21" s="42"/>
      <c r="E21" s="43">
        <v>202</v>
      </c>
      <c r="F21" s="43">
        <f t="shared" si="1"/>
        <v>0.202</v>
      </c>
      <c r="G21" s="43">
        <f t="shared" si="2"/>
        <v>202</v>
      </c>
      <c r="H21" s="43">
        <f t="shared" si="1"/>
        <v>0.202</v>
      </c>
      <c r="I21" s="49"/>
      <c r="J21" s="18">
        <v>222</v>
      </c>
      <c r="K21" s="43">
        <f t="shared" si="3"/>
        <v>0.222</v>
      </c>
      <c r="L21" s="43">
        <f t="shared" si="4"/>
        <v>222</v>
      </c>
      <c r="M21" s="43">
        <f t="shared" si="3"/>
        <v>0.222</v>
      </c>
      <c r="N21" s="49"/>
      <c r="O21" s="47">
        <v>167</v>
      </c>
      <c r="P21" s="43">
        <f t="shared" si="5"/>
        <v>0.167</v>
      </c>
      <c r="Q21" s="43">
        <f t="shared" si="0"/>
        <v>167</v>
      </c>
      <c r="R21" s="43">
        <f t="shared" si="5"/>
        <v>0.167</v>
      </c>
    </row>
    <row r="22" spans="1:18" ht="12.75">
      <c r="A22" s="40"/>
      <c r="B22" s="40" t="s">
        <v>41</v>
      </c>
      <c r="C22" s="42">
        <v>0.1</v>
      </c>
      <c r="D22" s="42"/>
      <c r="E22" s="43">
        <v>71</v>
      </c>
      <c r="F22" s="43">
        <f t="shared" si="1"/>
        <v>7.1000000000000005</v>
      </c>
      <c r="G22" s="43">
        <f t="shared" si="2"/>
        <v>71</v>
      </c>
      <c r="H22" s="43">
        <f t="shared" si="1"/>
        <v>7.1000000000000005</v>
      </c>
      <c r="I22" s="49"/>
      <c r="J22" s="18">
        <v>118</v>
      </c>
      <c r="K22" s="43">
        <f t="shared" si="3"/>
        <v>11.8</v>
      </c>
      <c r="L22" s="43">
        <f t="shared" si="4"/>
        <v>118</v>
      </c>
      <c r="M22" s="43">
        <f t="shared" si="3"/>
        <v>11.8</v>
      </c>
      <c r="N22" s="49"/>
      <c r="O22" s="47">
        <v>165</v>
      </c>
      <c r="P22" s="43">
        <f t="shared" si="5"/>
        <v>16.5</v>
      </c>
      <c r="Q22" s="43">
        <f t="shared" si="0"/>
        <v>165</v>
      </c>
      <c r="R22" s="43">
        <f t="shared" si="5"/>
        <v>16.5</v>
      </c>
    </row>
    <row r="23" spans="1:18" ht="12.75">
      <c r="A23" s="40"/>
      <c r="B23" s="40" t="s">
        <v>139</v>
      </c>
      <c r="C23" s="42">
        <v>0</v>
      </c>
      <c r="D23" s="42"/>
      <c r="E23" s="43">
        <v>393</v>
      </c>
      <c r="F23" s="43">
        <f t="shared" si="1"/>
        <v>0</v>
      </c>
      <c r="G23" s="43">
        <f t="shared" si="2"/>
        <v>393</v>
      </c>
      <c r="H23" s="43">
        <f t="shared" si="1"/>
        <v>0</v>
      </c>
      <c r="I23" s="49"/>
      <c r="J23" s="18">
        <v>568</v>
      </c>
      <c r="K23" s="43">
        <f t="shared" si="3"/>
        <v>0</v>
      </c>
      <c r="L23" s="43">
        <f t="shared" si="4"/>
        <v>568</v>
      </c>
      <c r="M23" s="43">
        <f t="shared" si="3"/>
        <v>0</v>
      </c>
      <c r="N23" s="49"/>
      <c r="O23" s="47">
        <v>738</v>
      </c>
      <c r="P23" s="43">
        <f t="shared" si="5"/>
        <v>0</v>
      </c>
      <c r="Q23" s="43">
        <f t="shared" si="0"/>
        <v>738</v>
      </c>
      <c r="R23" s="43">
        <f t="shared" si="5"/>
        <v>0</v>
      </c>
    </row>
    <row r="24" spans="1:18" ht="12.75">
      <c r="A24" s="40"/>
      <c r="B24" s="40" t="s">
        <v>42</v>
      </c>
      <c r="C24" s="42">
        <v>0.05</v>
      </c>
      <c r="D24" s="42"/>
      <c r="E24" s="43">
        <v>49</v>
      </c>
      <c r="F24" s="43">
        <f t="shared" si="1"/>
        <v>2.45</v>
      </c>
      <c r="G24" s="43">
        <f t="shared" si="2"/>
        <v>49</v>
      </c>
      <c r="H24" s="43">
        <f t="shared" si="1"/>
        <v>2.45</v>
      </c>
      <c r="I24" s="49"/>
      <c r="J24" s="18">
        <v>85</v>
      </c>
      <c r="K24" s="43">
        <f t="shared" si="3"/>
        <v>4.25</v>
      </c>
      <c r="L24" s="43">
        <f t="shared" si="4"/>
        <v>85</v>
      </c>
      <c r="M24" s="43">
        <f t="shared" si="3"/>
        <v>4.25</v>
      </c>
      <c r="N24" s="49"/>
      <c r="O24" s="47">
        <v>106</v>
      </c>
      <c r="P24" s="43">
        <f t="shared" si="5"/>
        <v>5.300000000000001</v>
      </c>
      <c r="Q24" s="43">
        <f t="shared" si="0"/>
        <v>106</v>
      </c>
      <c r="R24" s="43">
        <f t="shared" si="5"/>
        <v>5.300000000000001</v>
      </c>
    </row>
    <row r="25" spans="1:18" ht="12.75">
      <c r="A25" s="40"/>
      <c r="B25" s="40" t="s">
        <v>43</v>
      </c>
      <c r="C25" s="42">
        <v>0.5</v>
      </c>
      <c r="D25" s="42"/>
      <c r="E25" s="43">
        <v>27</v>
      </c>
      <c r="F25" s="43">
        <f t="shared" si="1"/>
        <v>13.5</v>
      </c>
      <c r="G25" s="43">
        <f t="shared" si="2"/>
        <v>27</v>
      </c>
      <c r="H25" s="43">
        <f t="shared" si="1"/>
        <v>13.5</v>
      </c>
      <c r="I25" s="49"/>
      <c r="J25" s="18">
        <v>48</v>
      </c>
      <c r="K25" s="43">
        <f t="shared" si="3"/>
        <v>24</v>
      </c>
      <c r="L25" s="43">
        <f t="shared" si="4"/>
        <v>48</v>
      </c>
      <c r="M25" s="43">
        <f t="shared" si="3"/>
        <v>24</v>
      </c>
      <c r="N25" s="49"/>
      <c r="O25" s="47">
        <v>60</v>
      </c>
      <c r="P25" s="43">
        <f t="shared" si="5"/>
        <v>30</v>
      </c>
      <c r="Q25" s="43">
        <f t="shared" si="0"/>
        <v>60</v>
      </c>
      <c r="R25" s="43">
        <f t="shared" si="5"/>
        <v>30</v>
      </c>
    </row>
    <row r="26" spans="1:18" ht="12.75">
      <c r="A26" s="40"/>
      <c r="B26" s="40" t="s">
        <v>140</v>
      </c>
      <c r="C26" s="42">
        <v>0</v>
      </c>
      <c r="D26" s="42"/>
      <c r="E26" s="43">
        <v>330</v>
      </c>
      <c r="F26" s="43">
        <f t="shared" si="1"/>
        <v>0</v>
      </c>
      <c r="G26" s="43">
        <f t="shared" si="2"/>
        <v>330</v>
      </c>
      <c r="H26" s="43">
        <f t="shared" si="1"/>
        <v>0</v>
      </c>
      <c r="I26" s="49"/>
      <c r="J26" s="18">
        <v>566</v>
      </c>
      <c r="K26" s="43">
        <f t="shared" si="3"/>
        <v>0</v>
      </c>
      <c r="L26" s="43">
        <f t="shared" si="4"/>
        <v>566</v>
      </c>
      <c r="M26" s="43">
        <f t="shared" si="3"/>
        <v>0</v>
      </c>
      <c r="N26" s="49"/>
      <c r="O26" s="47">
        <v>691</v>
      </c>
      <c r="P26" s="43">
        <f t="shared" si="5"/>
        <v>0</v>
      </c>
      <c r="Q26" s="43">
        <f t="shared" si="0"/>
        <v>691</v>
      </c>
      <c r="R26" s="43">
        <f t="shared" si="5"/>
        <v>0</v>
      </c>
    </row>
    <row r="27" spans="1:18" ht="12.75">
      <c r="A27" s="40"/>
      <c r="B27" s="40" t="s">
        <v>44</v>
      </c>
      <c r="C27" s="42">
        <v>0.1</v>
      </c>
      <c r="D27" s="42"/>
      <c r="E27" s="43">
        <v>250</v>
      </c>
      <c r="F27" s="43">
        <f t="shared" si="1"/>
        <v>25</v>
      </c>
      <c r="G27" s="43">
        <f t="shared" si="2"/>
        <v>250</v>
      </c>
      <c r="H27" s="43">
        <f t="shared" si="1"/>
        <v>25</v>
      </c>
      <c r="I27" s="49"/>
      <c r="J27" s="18">
        <v>607</v>
      </c>
      <c r="K27" s="43">
        <f t="shared" si="3"/>
        <v>60.7</v>
      </c>
      <c r="L27" s="43">
        <f t="shared" si="4"/>
        <v>607</v>
      </c>
      <c r="M27" s="43">
        <f t="shared" si="3"/>
        <v>60.7</v>
      </c>
      <c r="N27" s="49"/>
      <c r="O27" s="47">
        <v>636</v>
      </c>
      <c r="P27" s="43">
        <f t="shared" si="5"/>
        <v>63.6</v>
      </c>
      <c r="Q27" s="43">
        <f t="shared" si="0"/>
        <v>636</v>
      </c>
      <c r="R27" s="43">
        <f t="shared" si="5"/>
        <v>63.6</v>
      </c>
    </row>
    <row r="28" spans="1:18" ht="12.75">
      <c r="A28" s="40"/>
      <c r="B28" s="40" t="s">
        <v>45</v>
      </c>
      <c r="C28" s="42">
        <v>0.1</v>
      </c>
      <c r="D28" s="42"/>
      <c r="E28" s="43">
        <v>76</v>
      </c>
      <c r="F28" s="43">
        <f t="shared" si="1"/>
        <v>7.6000000000000005</v>
      </c>
      <c r="G28" s="43">
        <f t="shared" si="2"/>
        <v>76</v>
      </c>
      <c r="H28" s="43">
        <f t="shared" si="1"/>
        <v>7.6000000000000005</v>
      </c>
      <c r="I28" s="49"/>
      <c r="J28" s="18">
        <v>145</v>
      </c>
      <c r="K28" s="43">
        <f t="shared" si="3"/>
        <v>14.5</v>
      </c>
      <c r="L28" s="43">
        <f t="shared" si="4"/>
        <v>145</v>
      </c>
      <c r="M28" s="43">
        <f t="shared" si="3"/>
        <v>14.5</v>
      </c>
      <c r="N28" s="49"/>
      <c r="O28" s="47">
        <v>142</v>
      </c>
      <c r="P28" s="43">
        <f t="shared" si="5"/>
        <v>14.200000000000001</v>
      </c>
      <c r="Q28" s="43">
        <f t="shared" si="0"/>
        <v>142</v>
      </c>
      <c r="R28" s="43">
        <f t="shared" si="5"/>
        <v>14.200000000000001</v>
      </c>
    </row>
    <row r="29" spans="1:18" ht="12.75">
      <c r="A29" s="40"/>
      <c r="B29" s="40" t="s">
        <v>46</v>
      </c>
      <c r="C29" s="42">
        <v>0.1</v>
      </c>
      <c r="D29" s="42"/>
      <c r="E29" s="43">
        <v>32</v>
      </c>
      <c r="F29" s="43">
        <f t="shared" si="1"/>
        <v>3.2</v>
      </c>
      <c r="G29" s="43">
        <f t="shared" si="2"/>
        <v>32</v>
      </c>
      <c r="H29" s="43">
        <f t="shared" si="1"/>
        <v>3.2</v>
      </c>
      <c r="I29" s="49"/>
      <c r="J29" s="18">
        <v>53</v>
      </c>
      <c r="K29" s="43">
        <f t="shared" si="3"/>
        <v>5.300000000000001</v>
      </c>
      <c r="L29" s="43">
        <f t="shared" si="4"/>
        <v>53</v>
      </c>
      <c r="M29" s="43">
        <f t="shared" si="3"/>
        <v>5.300000000000001</v>
      </c>
      <c r="N29" s="49"/>
      <c r="O29" s="47">
        <v>61</v>
      </c>
      <c r="P29" s="43">
        <f t="shared" si="5"/>
        <v>6.1000000000000005</v>
      </c>
      <c r="Q29" s="43">
        <f t="shared" si="0"/>
        <v>61</v>
      </c>
      <c r="R29" s="43">
        <f t="shared" si="5"/>
        <v>6.1000000000000005</v>
      </c>
    </row>
    <row r="30" spans="1:18" ht="12.75">
      <c r="A30" s="40"/>
      <c r="B30" s="40" t="s">
        <v>47</v>
      </c>
      <c r="C30" s="42">
        <v>0.1</v>
      </c>
      <c r="D30" s="42"/>
      <c r="E30" s="43">
        <v>34</v>
      </c>
      <c r="F30" s="43">
        <f t="shared" si="1"/>
        <v>3.4000000000000004</v>
      </c>
      <c r="G30" s="43">
        <f t="shared" si="2"/>
        <v>34</v>
      </c>
      <c r="H30" s="43">
        <f t="shared" si="1"/>
        <v>3.4000000000000004</v>
      </c>
      <c r="I30" s="49"/>
      <c r="J30" s="18">
        <v>76</v>
      </c>
      <c r="K30" s="43">
        <f t="shared" si="3"/>
        <v>7.6000000000000005</v>
      </c>
      <c r="L30" s="43">
        <f t="shared" si="4"/>
        <v>76</v>
      </c>
      <c r="M30" s="43">
        <f t="shared" si="3"/>
        <v>7.6000000000000005</v>
      </c>
      <c r="N30" s="49"/>
      <c r="O30" s="47">
        <v>76</v>
      </c>
      <c r="P30" s="43">
        <f t="shared" si="5"/>
        <v>7.6000000000000005</v>
      </c>
      <c r="Q30" s="43">
        <f t="shared" si="0"/>
        <v>76</v>
      </c>
      <c r="R30" s="43">
        <f t="shared" si="5"/>
        <v>7.6000000000000005</v>
      </c>
    </row>
    <row r="31" spans="1:18" ht="12.75">
      <c r="A31" s="40"/>
      <c r="B31" s="40" t="s">
        <v>141</v>
      </c>
      <c r="C31" s="42">
        <v>0</v>
      </c>
      <c r="D31" s="42"/>
      <c r="E31" s="43">
        <v>749</v>
      </c>
      <c r="F31" s="43">
        <f t="shared" si="1"/>
        <v>0</v>
      </c>
      <c r="G31" s="43">
        <f t="shared" si="2"/>
        <v>749</v>
      </c>
      <c r="H31" s="43">
        <f t="shared" si="1"/>
        <v>0</v>
      </c>
      <c r="I31" s="49"/>
      <c r="J31" s="18">
        <v>1580</v>
      </c>
      <c r="K31" s="43">
        <f t="shared" si="3"/>
        <v>0</v>
      </c>
      <c r="L31" s="43">
        <f t="shared" si="4"/>
        <v>1580</v>
      </c>
      <c r="M31" s="43">
        <f t="shared" si="3"/>
        <v>0</v>
      </c>
      <c r="N31" s="49"/>
      <c r="O31" s="47">
        <v>1602</v>
      </c>
      <c r="P31" s="43">
        <f t="shared" si="5"/>
        <v>0</v>
      </c>
      <c r="Q31" s="43">
        <f t="shared" si="0"/>
        <v>1602</v>
      </c>
      <c r="R31" s="43">
        <f t="shared" si="5"/>
        <v>0</v>
      </c>
    </row>
    <row r="32" spans="1:18" ht="12.75">
      <c r="A32" s="40"/>
      <c r="B32" s="40" t="s">
        <v>48</v>
      </c>
      <c r="C32" s="42">
        <v>0.01</v>
      </c>
      <c r="D32" s="42"/>
      <c r="E32" s="43">
        <v>949</v>
      </c>
      <c r="F32" s="43">
        <f t="shared" si="1"/>
        <v>9.49</v>
      </c>
      <c r="G32" s="43">
        <f t="shared" si="2"/>
        <v>949</v>
      </c>
      <c r="H32" s="43">
        <f t="shared" si="1"/>
        <v>9.49</v>
      </c>
      <c r="I32" s="49"/>
      <c r="J32" s="18">
        <v>2480</v>
      </c>
      <c r="K32" s="43">
        <f t="shared" si="3"/>
        <v>24.8</v>
      </c>
      <c r="L32" s="43">
        <f t="shared" si="4"/>
        <v>2480</v>
      </c>
      <c r="M32" s="43">
        <f t="shared" si="3"/>
        <v>24.8</v>
      </c>
      <c r="N32" s="49"/>
      <c r="O32" s="47">
        <v>1812</v>
      </c>
      <c r="P32" s="43">
        <f t="shared" si="5"/>
        <v>18.12</v>
      </c>
      <c r="Q32" s="43">
        <f t="shared" si="0"/>
        <v>1812</v>
      </c>
      <c r="R32" s="43">
        <f t="shared" si="5"/>
        <v>18.12</v>
      </c>
    </row>
    <row r="33" spans="1:18" ht="12.75">
      <c r="A33" s="40"/>
      <c r="B33" s="40" t="s">
        <v>49</v>
      </c>
      <c r="C33" s="42">
        <v>0.01</v>
      </c>
      <c r="D33" s="42"/>
      <c r="E33" s="43">
        <v>248</v>
      </c>
      <c r="F33" s="43">
        <f t="shared" si="1"/>
        <v>2.48</v>
      </c>
      <c r="G33" s="43">
        <f t="shared" si="2"/>
        <v>248</v>
      </c>
      <c r="H33" s="43">
        <f t="shared" si="1"/>
        <v>2.48</v>
      </c>
      <c r="I33" s="49"/>
      <c r="J33" s="18">
        <v>816</v>
      </c>
      <c r="K33" s="43">
        <f t="shared" si="3"/>
        <v>8.16</v>
      </c>
      <c r="L33" s="43">
        <f t="shared" si="4"/>
        <v>816</v>
      </c>
      <c r="M33" s="43">
        <f t="shared" si="3"/>
        <v>8.16</v>
      </c>
      <c r="N33" s="49"/>
      <c r="O33" s="47">
        <v>555</v>
      </c>
      <c r="P33" s="43">
        <f t="shared" si="5"/>
        <v>5.55</v>
      </c>
      <c r="Q33" s="43">
        <f t="shared" si="0"/>
        <v>555</v>
      </c>
      <c r="R33" s="43">
        <f t="shared" si="5"/>
        <v>5.55</v>
      </c>
    </row>
    <row r="34" spans="1:18" ht="12.75">
      <c r="A34" s="40"/>
      <c r="B34" s="40" t="s">
        <v>142</v>
      </c>
      <c r="C34" s="42">
        <v>0</v>
      </c>
      <c r="D34" s="42"/>
      <c r="E34" s="43">
        <v>1800</v>
      </c>
      <c r="F34" s="43">
        <f t="shared" si="1"/>
        <v>0</v>
      </c>
      <c r="G34" s="43">
        <f t="shared" si="2"/>
        <v>1800</v>
      </c>
      <c r="H34" s="43">
        <f t="shared" si="1"/>
        <v>0</v>
      </c>
      <c r="I34" s="49"/>
      <c r="J34" s="18">
        <v>5580</v>
      </c>
      <c r="K34" s="43">
        <f t="shared" si="3"/>
        <v>0</v>
      </c>
      <c r="L34" s="43">
        <f t="shared" si="4"/>
        <v>5580</v>
      </c>
      <c r="M34" s="43">
        <f t="shared" si="3"/>
        <v>0</v>
      </c>
      <c r="N34" s="49"/>
      <c r="O34" s="47">
        <v>3936</v>
      </c>
      <c r="P34" s="43">
        <f t="shared" si="5"/>
        <v>0</v>
      </c>
      <c r="Q34" s="43">
        <f t="shared" si="0"/>
        <v>3936</v>
      </c>
      <c r="R34" s="43">
        <f t="shared" si="5"/>
        <v>0</v>
      </c>
    </row>
    <row r="35" spans="1:18" ht="12.75">
      <c r="A35" s="40"/>
      <c r="B35" s="40" t="s">
        <v>50</v>
      </c>
      <c r="C35" s="42">
        <v>0.001</v>
      </c>
      <c r="D35" s="42"/>
      <c r="E35" s="43">
        <v>6940</v>
      </c>
      <c r="F35" s="43">
        <f t="shared" si="1"/>
        <v>6.94</v>
      </c>
      <c r="G35" s="43">
        <f t="shared" si="2"/>
        <v>6940</v>
      </c>
      <c r="H35" s="43">
        <f t="shared" si="1"/>
        <v>6.94</v>
      </c>
      <c r="I35" s="49"/>
      <c r="J35" s="18">
        <v>24770</v>
      </c>
      <c r="K35" s="43">
        <f t="shared" si="3"/>
        <v>24.77</v>
      </c>
      <c r="L35" s="43">
        <f t="shared" si="4"/>
        <v>24770</v>
      </c>
      <c r="M35" s="43">
        <f t="shared" si="3"/>
        <v>24.77</v>
      </c>
      <c r="N35" s="49"/>
      <c r="O35" s="47">
        <v>14480</v>
      </c>
      <c r="P35" s="43">
        <f t="shared" si="5"/>
        <v>14.48</v>
      </c>
      <c r="Q35" s="43">
        <f t="shared" si="0"/>
        <v>14480</v>
      </c>
      <c r="R35" s="43">
        <f t="shared" si="5"/>
        <v>14.48</v>
      </c>
    </row>
    <row r="36" spans="1:18" ht="12.75">
      <c r="A36" s="40"/>
      <c r="B36" s="40"/>
      <c r="C36" s="40"/>
      <c r="D36" s="40"/>
      <c r="E36" s="43"/>
      <c r="F36" s="43"/>
      <c r="G36" s="43"/>
      <c r="H36" s="43"/>
      <c r="I36" s="46"/>
      <c r="J36" s="18"/>
      <c r="K36" s="43"/>
      <c r="L36" s="43"/>
      <c r="M36" s="43"/>
      <c r="N36" s="46"/>
      <c r="O36" s="18"/>
      <c r="P36" s="48"/>
      <c r="Q36" s="46"/>
      <c r="R36" s="48"/>
    </row>
    <row r="37" spans="1:18" ht="12.75">
      <c r="A37" s="40"/>
      <c r="B37" s="40" t="s">
        <v>51</v>
      </c>
      <c r="C37" s="40"/>
      <c r="D37" s="40"/>
      <c r="F37" s="46">
        <v>123.025</v>
      </c>
      <c r="G37" s="46">
        <v>123.025</v>
      </c>
      <c r="H37" s="46">
        <v>123.025</v>
      </c>
      <c r="I37" s="46"/>
      <c r="J37" s="46"/>
      <c r="K37" s="46">
        <v>116.367</v>
      </c>
      <c r="L37" s="46">
        <v>116.367</v>
      </c>
      <c r="M37" s="46">
        <v>116.367</v>
      </c>
      <c r="N37" s="46"/>
      <c r="O37" s="46"/>
      <c r="P37" s="46">
        <v>113.517</v>
      </c>
      <c r="Q37" s="46">
        <v>113.517</v>
      </c>
      <c r="R37" s="46">
        <v>113.517</v>
      </c>
    </row>
    <row r="38" spans="1:18" ht="12.75">
      <c r="A38" s="40"/>
      <c r="B38" s="40" t="s">
        <v>80</v>
      </c>
      <c r="C38" s="40"/>
      <c r="D38" s="40"/>
      <c r="F38" s="46">
        <v>9.2</v>
      </c>
      <c r="G38" s="46">
        <v>9.2</v>
      </c>
      <c r="H38" s="46">
        <v>9.2</v>
      </c>
      <c r="I38" s="46"/>
      <c r="J38" s="46"/>
      <c r="K38" s="43">
        <v>9.3</v>
      </c>
      <c r="L38" s="43">
        <v>9.3</v>
      </c>
      <c r="M38" s="43">
        <v>9.3</v>
      </c>
      <c r="N38" s="46"/>
      <c r="O38" s="46"/>
      <c r="P38" s="46">
        <v>9.15</v>
      </c>
      <c r="Q38" s="46">
        <v>9.15</v>
      </c>
      <c r="R38" s="46">
        <v>9.15</v>
      </c>
    </row>
    <row r="39" spans="1:18" ht="12.75">
      <c r="A39" s="40"/>
      <c r="B39" s="40"/>
      <c r="C39" s="40"/>
      <c r="D39" s="40"/>
      <c r="E39" s="43"/>
      <c r="F39" s="47"/>
      <c r="G39" s="43"/>
      <c r="H39" s="47"/>
      <c r="I39" s="18"/>
      <c r="J39" s="46"/>
      <c r="K39" s="47"/>
      <c r="L39" s="43"/>
      <c r="M39" s="47"/>
      <c r="N39" s="46"/>
      <c r="O39" s="46"/>
      <c r="P39" s="46"/>
      <c r="Q39" s="46"/>
      <c r="R39" s="46"/>
    </row>
    <row r="40" spans="1:18" ht="12.75">
      <c r="A40" s="40"/>
      <c r="B40" s="40" t="s">
        <v>67</v>
      </c>
      <c r="C40" s="49"/>
      <c r="D40" s="49"/>
      <c r="E40" s="43"/>
      <c r="F40" s="49">
        <f>SUM(F11:F35)</f>
        <v>92.131</v>
      </c>
      <c r="G40" s="43">
        <f>SUM(G35,G34,G31,G26,G23,G21,G20,G18,G14,G12)</f>
        <v>10488.249999999998</v>
      </c>
      <c r="H40" s="49">
        <f>SUM(H11:H35)</f>
        <v>86.931</v>
      </c>
      <c r="I40" s="49"/>
      <c r="J40" s="43"/>
      <c r="K40" s="49">
        <f>SUM(K11:K35)</f>
        <v>197.181</v>
      </c>
      <c r="L40" s="43">
        <f>SUM(L35,L34,L31,L26,L23,L21,L20,L18,L14,L12)</f>
        <v>33342.950000000004</v>
      </c>
      <c r="M40" s="49">
        <f>SUM(M11:M35)</f>
        <v>191.806</v>
      </c>
      <c r="N40" s="49"/>
      <c r="O40" s="46"/>
      <c r="P40" s="49">
        <f>SUM(P11:P35)</f>
        <v>250.271</v>
      </c>
      <c r="Q40" s="43">
        <f>SUM(Q35,Q34,Q31,Q26,Q23,Q21,Q20,Q18,Q14,Q12)</f>
        <v>21688.649999999998</v>
      </c>
      <c r="R40" s="49">
        <f>SUM(R11:R35)</f>
        <v>216.106</v>
      </c>
    </row>
    <row r="41" spans="1:18" ht="12.75">
      <c r="A41" s="40"/>
      <c r="B41" s="40" t="s">
        <v>52</v>
      </c>
      <c r="C41" s="49"/>
      <c r="D41" s="43">
        <f>(F41-H41)*2/F41*100</f>
        <v>11.288274305065645</v>
      </c>
      <c r="E41" s="43"/>
      <c r="F41" s="49">
        <f>F40/F37/0.0283*(21-7)/(21-F38)/1000</f>
        <v>0.031395832557717926</v>
      </c>
      <c r="G41" s="46">
        <f>(G40/G37/0.0283*(21-7)/(21-G38))/1000</f>
        <v>3.574120988847239</v>
      </c>
      <c r="H41" s="49">
        <f>H40/H37/0.0283*(21-7)/(21-H38)/1000</f>
        <v>0.029623808707980773</v>
      </c>
      <c r="I41" s="43">
        <f>(K41-M41)*2/K41*100</f>
        <v>5.451843737479748</v>
      </c>
      <c r="J41" s="46"/>
      <c r="K41" s="49">
        <f>K40/K37/0.0283*(21-7)/(21-K38)/1000</f>
        <v>0.07164583772629095</v>
      </c>
      <c r="L41" s="46">
        <f>(L40/L37/0.0283*(21-7)/(21-L38))/1000</f>
        <v>12.115181407010983</v>
      </c>
      <c r="M41" s="49">
        <f>M40/M37/0.0283*(21-7)/(21-M38)/1000</f>
        <v>0.0696928281676681</v>
      </c>
      <c r="N41" s="43">
        <f>(P41-R41)*2/P41*100</f>
        <v>27.30240419385393</v>
      </c>
      <c r="O41" s="46"/>
      <c r="P41" s="49">
        <f>P40/P37/0.0283*(21-7)/(21-P38)/1000</f>
        <v>0.09203920813884134</v>
      </c>
      <c r="Q41" s="46">
        <f>(Q40/Q37/0.0283*(21-7)/(21-Q38))/1000</f>
        <v>7.976178508898277</v>
      </c>
      <c r="R41" s="49">
        <f>R40/R37/0.0283*(21-7)/(21-R38)/1000</f>
        <v>0.07947474982739686</v>
      </c>
    </row>
    <row r="42" spans="1:18" ht="12.75">
      <c r="A42" s="40"/>
      <c r="B42" s="40"/>
      <c r="C42" s="40"/>
      <c r="D42" s="40"/>
      <c r="E42" s="43"/>
      <c r="F42" s="43"/>
      <c r="G42" s="43"/>
      <c r="H42" s="43"/>
      <c r="I42" s="45"/>
      <c r="J42" s="45"/>
      <c r="K42" s="45"/>
      <c r="L42" s="45"/>
      <c r="M42" s="45"/>
      <c r="N42" s="45"/>
      <c r="O42" s="45"/>
      <c r="P42" s="48"/>
      <c r="Q42" s="45"/>
      <c r="R42" s="48"/>
    </row>
    <row r="43" spans="1:18" ht="12.75">
      <c r="A43" s="46"/>
      <c r="B43" s="40" t="s">
        <v>81</v>
      </c>
      <c r="C43" s="45">
        <f>AVERAGE(H41,M41,R41)</f>
        <v>0.05959712890101524</v>
      </c>
      <c r="D43" s="46"/>
      <c r="E43" s="43"/>
      <c r="F43" s="43"/>
      <c r="G43" s="43"/>
      <c r="H43" s="43"/>
      <c r="I43" s="46"/>
      <c r="J43" s="46"/>
      <c r="K43" s="46"/>
      <c r="L43" s="46"/>
      <c r="M43" s="46"/>
      <c r="N43" s="46"/>
      <c r="O43" s="46"/>
      <c r="P43" s="48"/>
      <c r="Q43" s="46"/>
      <c r="R43" s="48"/>
    </row>
    <row r="44" spans="1:18" ht="12.75">
      <c r="A44" s="40"/>
      <c r="B44" s="40" t="s">
        <v>82</v>
      </c>
      <c r="C44" s="46">
        <f>AVERAGE(G41,L41,Q41)</f>
        <v>7.8884936349188335</v>
      </c>
      <c r="D44" s="40"/>
      <c r="E44" s="43"/>
      <c r="F44" s="43"/>
      <c r="G44" s="43"/>
      <c r="H44" s="43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1"/>
      <c r="B85" s="1"/>
      <c r="C85" s="1"/>
      <c r="D85" s="1"/>
      <c r="E85" s="3"/>
      <c r="G85" s="3"/>
      <c r="J85" s="6"/>
      <c r="K85" s="5"/>
      <c r="L85" s="3"/>
      <c r="M85" s="5"/>
      <c r="N85" s="6"/>
      <c r="O85" s="6"/>
      <c r="P85" s="6"/>
      <c r="Q85" s="6"/>
      <c r="R85" s="6"/>
    </row>
    <row r="86" spans="1:18" ht="12.75">
      <c r="A86" s="1"/>
      <c r="B86" s="1"/>
      <c r="C86" s="2"/>
      <c r="D86" s="2"/>
      <c r="E86" s="3"/>
      <c r="F86" s="3"/>
      <c r="G86" s="3"/>
      <c r="H86" s="3"/>
      <c r="I86" s="2"/>
      <c r="J86" s="3"/>
      <c r="K86" s="3"/>
      <c r="L86" s="3"/>
      <c r="M86" s="3"/>
      <c r="N86" s="2"/>
      <c r="O86" s="6"/>
      <c r="P86" s="2"/>
      <c r="Q86" s="2"/>
      <c r="R86" s="2"/>
    </row>
    <row r="87" spans="1:18" ht="12.75">
      <c r="A87" s="1"/>
      <c r="B87" s="1"/>
      <c r="C87" s="2"/>
      <c r="D87" s="2"/>
      <c r="E87" s="3"/>
      <c r="F87" s="3"/>
      <c r="G87" s="3"/>
      <c r="H87" s="3"/>
      <c r="I87" s="2"/>
      <c r="J87" s="6"/>
      <c r="K87" s="2"/>
      <c r="L87" s="3"/>
      <c r="M87" s="2"/>
      <c r="N87" s="2"/>
      <c r="O87" s="6"/>
      <c r="P87" s="4"/>
      <c r="Q87" s="4"/>
      <c r="R87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H1" sqref="H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4.28125" style="0" customWidth="1"/>
    <col min="5" max="5" width="9.421875" style="5" customWidth="1"/>
    <col min="6" max="6" width="9.8515625" style="5" customWidth="1"/>
    <col min="7" max="7" width="10.7109375" style="5" customWidth="1"/>
    <col min="8" max="8" width="9.8515625" style="5" customWidth="1"/>
    <col min="9" max="9" width="3.421875" style="0" customWidth="1"/>
    <col min="11" max="11" width="9.28125" style="0" customWidth="1"/>
    <col min="13" max="13" width="9.28125" style="0" customWidth="1"/>
    <col min="14" max="14" width="4.710937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93</v>
      </c>
      <c r="B1" s="40"/>
      <c r="C1" s="40"/>
      <c r="D1" s="40"/>
      <c r="E1" s="43"/>
      <c r="F1" s="43"/>
      <c r="G1" s="43"/>
      <c r="H1" s="43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0" t="s">
        <v>243</v>
      </c>
      <c r="B2" s="40"/>
      <c r="C2" s="40"/>
      <c r="D2" s="40"/>
      <c r="E2" s="43"/>
      <c r="F2" s="43"/>
      <c r="G2" s="43"/>
      <c r="H2" s="43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0" t="s">
        <v>25</v>
      </c>
      <c r="B3" s="40"/>
      <c r="C3" s="13" t="s">
        <v>155</v>
      </c>
      <c r="D3" s="13"/>
      <c r="E3" s="43"/>
      <c r="F3" s="43"/>
      <c r="G3" s="43"/>
      <c r="H3" s="43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0" t="s">
        <v>26</v>
      </c>
      <c r="B4" s="40"/>
      <c r="C4" s="13" t="s">
        <v>189</v>
      </c>
      <c r="D4" s="13"/>
      <c r="E4" s="62"/>
      <c r="F4" s="16"/>
      <c r="G4" s="62"/>
      <c r="H4" s="16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40" t="s">
        <v>27</v>
      </c>
      <c r="B5" s="40"/>
      <c r="C5" s="18" t="str">
        <f>cond!C20</f>
        <v>Trial burn, increased PCB feed rate</v>
      </c>
      <c r="D5" s="18"/>
      <c r="E5" s="47"/>
      <c r="F5" s="47"/>
      <c r="G5" s="47"/>
      <c r="H5" s="47"/>
      <c r="I5" s="18"/>
      <c r="J5" s="18"/>
      <c r="K5" s="48"/>
      <c r="L5" s="18"/>
      <c r="M5" s="48"/>
      <c r="N5" s="48"/>
      <c r="O5" s="48"/>
      <c r="P5" s="48"/>
      <c r="Q5" s="48"/>
      <c r="R5" s="48"/>
    </row>
    <row r="6" spans="1:18" ht="12.75">
      <c r="A6" s="40"/>
      <c r="B6" s="40"/>
      <c r="C6" s="42"/>
      <c r="D6" s="42"/>
      <c r="E6" s="16"/>
      <c r="F6" s="43"/>
      <c r="G6" s="16"/>
      <c r="H6" s="43"/>
      <c r="I6" s="48"/>
      <c r="J6" s="52"/>
      <c r="K6" s="48"/>
      <c r="L6" s="52"/>
      <c r="M6" s="48"/>
      <c r="N6" s="48"/>
      <c r="O6" s="52"/>
      <c r="P6" s="48"/>
      <c r="Q6" s="52"/>
      <c r="R6" s="48"/>
    </row>
    <row r="7" spans="1:18" s="71" customFormat="1" ht="12.75">
      <c r="A7" s="40"/>
      <c r="B7" s="40"/>
      <c r="C7" s="42" t="s">
        <v>28</v>
      </c>
      <c r="D7" s="42"/>
      <c r="E7" s="63" t="s">
        <v>68</v>
      </c>
      <c r="F7" s="63"/>
      <c r="G7" s="63"/>
      <c r="H7" s="63"/>
      <c r="I7" s="17"/>
      <c r="J7" s="53" t="s">
        <v>69</v>
      </c>
      <c r="K7" s="53"/>
      <c r="L7" s="53"/>
      <c r="M7" s="53"/>
      <c r="N7" s="17"/>
      <c r="O7" s="53" t="s">
        <v>70</v>
      </c>
      <c r="P7" s="53"/>
      <c r="Q7" s="53"/>
      <c r="R7" s="53"/>
    </row>
    <row r="8" spans="1:18" s="71" customFormat="1" ht="12.75">
      <c r="A8" s="40"/>
      <c r="B8" s="40"/>
      <c r="C8" s="42" t="s">
        <v>29</v>
      </c>
      <c r="D8" s="40"/>
      <c r="E8" s="16" t="s">
        <v>30</v>
      </c>
      <c r="F8" s="16" t="s">
        <v>31</v>
      </c>
      <c r="G8" s="16" t="s">
        <v>30</v>
      </c>
      <c r="H8" s="16" t="s">
        <v>31</v>
      </c>
      <c r="I8" s="48"/>
      <c r="J8" s="52" t="s">
        <v>30</v>
      </c>
      <c r="K8" s="52" t="s">
        <v>32</v>
      </c>
      <c r="L8" s="52" t="s">
        <v>30</v>
      </c>
      <c r="M8" s="52" t="s">
        <v>32</v>
      </c>
      <c r="N8" s="48"/>
      <c r="O8" s="52" t="s">
        <v>30</v>
      </c>
      <c r="P8" s="52" t="s">
        <v>32</v>
      </c>
      <c r="Q8" s="52" t="s">
        <v>30</v>
      </c>
      <c r="R8" s="52" t="s">
        <v>32</v>
      </c>
    </row>
    <row r="9" spans="1:18" s="71" customFormat="1" ht="12.75">
      <c r="A9" s="40"/>
      <c r="B9" s="40"/>
      <c r="C9" s="42"/>
      <c r="D9" s="40"/>
      <c r="E9" s="52" t="s">
        <v>238</v>
      </c>
      <c r="F9" s="52" t="s">
        <v>238</v>
      </c>
      <c r="G9" s="16" t="s">
        <v>92</v>
      </c>
      <c r="H9" s="16" t="s">
        <v>92</v>
      </c>
      <c r="I9" s="48"/>
      <c r="J9" s="52" t="s">
        <v>238</v>
      </c>
      <c r="K9" s="52" t="s">
        <v>238</v>
      </c>
      <c r="L9" s="52" t="s">
        <v>92</v>
      </c>
      <c r="M9" s="51" t="s">
        <v>92</v>
      </c>
      <c r="N9" s="48"/>
      <c r="O9" s="52" t="s">
        <v>238</v>
      </c>
      <c r="P9" s="52" t="s">
        <v>238</v>
      </c>
      <c r="Q9" s="52" t="s">
        <v>92</v>
      </c>
      <c r="R9" s="51" t="s">
        <v>92</v>
      </c>
    </row>
    <row r="10" spans="1:18" ht="12.75">
      <c r="A10" s="40" t="s">
        <v>66</v>
      </c>
      <c r="B10" s="40"/>
      <c r="C10" s="40"/>
      <c r="D10" s="40"/>
      <c r="E10" s="43"/>
      <c r="F10" s="43"/>
      <c r="G10" s="43"/>
      <c r="H10" s="43"/>
      <c r="I10" s="48"/>
      <c r="J10" s="48"/>
      <c r="K10" s="48"/>
      <c r="L10" s="48"/>
      <c r="M10" s="48"/>
      <c r="N10" s="48"/>
      <c r="O10" s="43"/>
      <c r="P10" s="48"/>
      <c r="Q10" s="48"/>
      <c r="R10" s="48"/>
    </row>
    <row r="11" spans="1:18" ht="12.75">
      <c r="A11" s="40"/>
      <c r="B11" s="40" t="s">
        <v>33</v>
      </c>
      <c r="C11" s="42">
        <v>1</v>
      </c>
      <c r="D11" s="42" t="s">
        <v>34</v>
      </c>
      <c r="E11" s="43">
        <v>4.7</v>
      </c>
      <c r="F11" s="43">
        <f>IF(E11="","",E11*$C11)</f>
        <v>4.7</v>
      </c>
      <c r="G11" s="43">
        <f>IF(E11=0,"",IF(D11="nd",E11/2,E11))</f>
        <v>2.35</v>
      </c>
      <c r="H11" s="43">
        <f>IF(G11="","",G11*$C11)</f>
        <v>2.35</v>
      </c>
      <c r="I11" s="49" t="s">
        <v>34</v>
      </c>
      <c r="J11" s="18">
        <v>3.7</v>
      </c>
      <c r="K11" s="43">
        <f>IF(J11="","",J11*$C11)</f>
        <v>3.7</v>
      </c>
      <c r="L11" s="43">
        <f>IF(J11=0,"",IF(I11="nd",J11/2,J11))</f>
        <v>1.85</v>
      </c>
      <c r="M11" s="43">
        <f>IF(L11="","",L11*$C11)</f>
        <v>1.85</v>
      </c>
      <c r="N11" s="49" t="s">
        <v>34</v>
      </c>
      <c r="O11" s="54">
        <v>2.9</v>
      </c>
      <c r="P11" s="43">
        <f>IF(O11="","",O11*$C11)</f>
        <v>2.9</v>
      </c>
      <c r="Q11" s="43">
        <f>IF(O11=0,"",IF(N11="nd",O11/2,O11))</f>
        <v>1.45</v>
      </c>
      <c r="R11" s="43">
        <f>IF(Q11="","",Q11*$C11)</f>
        <v>1.45</v>
      </c>
    </row>
    <row r="12" spans="1:18" ht="12.75">
      <c r="A12" s="40"/>
      <c r="B12" s="40" t="s">
        <v>135</v>
      </c>
      <c r="C12" s="42">
        <v>0</v>
      </c>
      <c r="D12" s="42" t="s">
        <v>34</v>
      </c>
      <c r="E12" s="43">
        <v>4.7</v>
      </c>
      <c r="F12" s="43">
        <f aca="true" t="shared" si="0" ref="F12:H35">IF(E12="","",E12*$C12)</f>
        <v>0</v>
      </c>
      <c r="G12" s="43">
        <f aca="true" t="shared" si="1" ref="G12:G35">IF(E12=0,"",IF(D12="nd",E12/2,E12))</f>
        <v>2.35</v>
      </c>
      <c r="H12" s="43">
        <f t="shared" si="0"/>
        <v>0</v>
      </c>
      <c r="I12" s="49" t="s">
        <v>34</v>
      </c>
      <c r="J12" s="33">
        <v>3.7</v>
      </c>
      <c r="K12" s="43">
        <f aca="true" t="shared" si="2" ref="K12:M35">IF(J12="","",J12*$C12)</f>
        <v>0</v>
      </c>
      <c r="L12" s="43">
        <f aca="true" t="shared" si="3" ref="L12:L35">IF(J12=0,"",IF(I12="nd",J12/2,J12))</f>
        <v>1.85</v>
      </c>
      <c r="M12" s="43">
        <f t="shared" si="2"/>
        <v>0</v>
      </c>
      <c r="N12" s="49" t="s">
        <v>34</v>
      </c>
      <c r="O12" s="54">
        <v>2.9</v>
      </c>
      <c r="P12" s="43">
        <f aca="true" t="shared" si="4" ref="P12:R35">IF(O12="","",O12*$C12)</f>
        <v>0</v>
      </c>
      <c r="Q12" s="43">
        <f aca="true" t="shared" si="5" ref="Q12:Q35">IF(O12=0,"",IF(N12="nd",O12/2,O12))</f>
        <v>1.45</v>
      </c>
      <c r="R12" s="43">
        <f t="shared" si="4"/>
        <v>0</v>
      </c>
    </row>
    <row r="13" spans="1:18" ht="12.75">
      <c r="A13" s="40"/>
      <c r="B13" s="40" t="s">
        <v>35</v>
      </c>
      <c r="C13" s="42">
        <v>0.5</v>
      </c>
      <c r="D13" s="42" t="s">
        <v>34</v>
      </c>
      <c r="E13" s="43">
        <v>7.5</v>
      </c>
      <c r="F13" s="43">
        <f t="shared" si="0"/>
        <v>3.75</v>
      </c>
      <c r="G13" s="43">
        <f t="shared" si="1"/>
        <v>3.75</v>
      </c>
      <c r="H13" s="43">
        <f t="shared" si="0"/>
        <v>1.875</v>
      </c>
      <c r="I13" s="49" t="s">
        <v>34</v>
      </c>
      <c r="J13" s="18">
        <v>5.8</v>
      </c>
      <c r="K13" s="43">
        <f t="shared" si="2"/>
        <v>2.9</v>
      </c>
      <c r="L13" s="43">
        <f t="shared" si="3"/>
        <v>2.9</v>
      </c>
      <c r="M13" s="43">
        <f t="shared" si="2"/>
        <v>1.45</v>
      </c>
      <c r="N13" s="49" t="s">
        <v>34</v>
      </c>
      <c r="O13" s="55">
        <v>5</v>
      </c>
      <c r="P13" s="43">
        <f t="shared" si="4"/>
        <v>2.5</v>
      </c>
      <c r="Q13" s="43">
        <f t="shared" si="5"/>
        <v>2.5</v>
      </c>
      <c r="R13" s="43">
        <f t="shared" si="4"/>
        <v>1.25</v>
      </c>
    </row>
    <row r="14" spans="1:18" ht="12.75">
      <c r="A14" s="40"/>
      <c r="B14" s="40" t="s">
        <v>136</v>
      </c>
      <c r="C14" s="42">
        <v>0</v>
      </c>
      <c r="D14" s="42" t="s">
        <v>34</v>
      </c>
      <c r="E14" s="43">
        <v>7.5</v>
      </c>
      <c r="F14" s="43">
        <f t="shared" si="0"/>
        <v>0</v>
      </c>
      <c r="G14" s="43">
        <f t="shared" si="1"/>
        <v>3.75</v>
      </c>
      <c r="H14" s="43">
        <f t="shared" si="0"/>
        <v>0</v>
      </c>
      <c r="I14" s="49" t="s">
        <v>34</v>
      </c>
      <c r="J14" s="18">
        <v>5.8</v>
      </c>
      <c r="K14" s="43">
        <f t="shared" si="2"/>
        <v>0</v>
      </c>
      <c r="L14" s="43">
        <f t="shared" si="3"/>
        <v>2.9</v>
      </c>
      <c r="M14" s="43">
        <f t="shared" si="2"/>
        <v>0</v>
      </c>
      <c r="N14" s="49" t="s">
        <v>34</v>
      </c>
      <c r="O14" s="55">
        <v>5</v>
      </c>
      <c r="P14" s="43">
        <f t="shared" si="4"/>
        <v>0</v>
      </c>
      <c r="Q14" s="43">
        <f t="shared" si="5"/>
        <v>2.5</v>
      </c>
      <c r="R14" s="43">
        <f t="shared" si="4"/>
        <v>0</v>
      </c>
    </row>
    <row r="15" spans="1:18" ht="12.75">
      <c r="A15" s="40"/>
      <c r="B15" s="40" t="s">
        <v>36</v>
      </c>
      <c r="C15" s="42">
        <v>0.1</v>
      </c>
      <c r="D15" s="42"/>
      <c r="E15" s="43">
        <v>8.7</v>
      </c>
      <c r="F15" s="43">
        <f t="shared" si="0"/>
        <v>0.87</v>
      </c>
      <c r="G15" s="43">
        <f t="shared" si="1"/>
        <v>8.7</v>
      </c>
      <c r="H15" s="43">
        <f t="shared" si="0"/>
        <v>0.87</v>
      </c>
      <c r="I15" s="49" t="s">
        <v>34</v>
      </c>
      <c r="J15" s="18">
        <v>11.5</v>
      </c>
      <c r="K15" s="43">
        <f t="shared" si="2"/>
        <v>1.1500000000000001</v>
      </c>
      <c r="L15" s="43">
        <f t="shared" si="3"/>
        <v>5.75</v>
      </c>
      <c r="M15" s="43">
        <f t="shared" si="2"/>
        <v>0.5750000000000001</v>
      </c>
      <c r="N15" s="49" t="s">
        <v>34</v>
      </c>
      <c r="O15" s="55">
        <v>10.1</v>
      </c>
      <c r="P15" s="43">
        <f t="shared" si="4"/>
        <v>1.01</v>
      </c>
      <c r="Q15" s="43">
        <f t="shared" si="5"/>
        <v>5.05</v>
      </c>
      <c r="R15" s="43">
        <f t="shared" si="4"/>
        <v>0.505</v>
      </c>
    </row>
    <row r="16" spans="1:18" ht="12.75">
      <c r="A16" s="40"/>
      <c r="B16" s="40" t="s">
        <v>37</v>
      </c>
      <c r="C16" s="42">
        <v>0.1</v>
      </c>
      <c r="D16" s="42"/>
      <c r="E16" s="43">
        <v>12</v>
      </c>
      <c r="F16" s="43">
        <f t="shared" si="0"/>
        <v>1.2000000000000002</v>
      </c>
      <c r="G16" s="43">
        <f t="shared" si="1"/>
        <v>12</v>
      </c>
      <c r="H16" s="43">
        <f t="shared" si="0"/>
        <v>1.2000000000000002</v>
      </c>
      <c r="I16" s="49" t="s">
        <v>34</v>
      </c>
      <c r="J16" s="18">
        <v>12.5</v>
      </c>
      <c r="K16" s="43">
        <f t="shared" si="2"/>
        <v>1.25</v>
      </c>
      <c r="L16" s="43">
        <f t="shared" si="3"/>
        <v>6.25</v>
      </c>
      <c r="M16" s="43">
        <f t="shared" si="2"/>
        <v>0.625</v>
      </c>
      <c r="N16" s="49" t="s">
        <v>34</v>
      </c>
      <c r="O16" s="55">
        <v>11</v>
      </c>
      <c r="P16" s="43">
        <f t="shared" si="4"/>
        <v>1.1</v>
      </c>
      <c r="Q16" s="43">
        <f t="shared" si="5"/>
        <v>5.5</v>
      </c>
      <c r="R16" s="43">
        <f t="shared" si="4"/>
        <v>0.55</v>
      </c>
    </row>
    <row r="17" spans="1:18" ht="12.75">
      <c r="A17" s="40"/>
      <c r="B17" s="40" t="s">
        <v>38</v>
      </c>
      <c r="C17" s="42">
        <v>0.1</v>
      </c>
      <c r="D17" s="42"/>
      <c r="E17" s="43">
        <v>7.6</v>
      </c>
      <c r="F17" s="43">
        <f t="shared" si="0"/>
        <v>0.76</v>
      </c>
      <c r="G17" s="43">
        <f t="shared" si="1"/>
        <v>7.6</v>
      </c>
      <c r="H17" s="43">
        <f t="shared" si="0"/>
        <v>0.76</v>
      </c>
      <c r="I17" s="49" t="s">
        <v>34</v>
      </c>
      <c r="J17" s="18">
        <v>11.3</v>
      </c>
      <c r="K17" s="43">
        <f t="shared" si="2"/>
        <v>1.1300000000000001</v>
      </c>
      <c r="L17" s="43">
        <f t="shared" si="3"/>
        <v>5.65</v>
      </c>
      <c r="M17" s="43">
        <f t="shared" si="2"/>
        <v>0.5650000000000001</v>
      </c>
      <c r="N17" s="49" t="s">
        <v>34</v>
      </c>
      <c r="O17" s="55">
        <v>9.9</v>
      </c>
      <c r="P17" s="43">
        <f t="shared" si="4"/>
        <v>0.9900000000000001</v>
      </c>
      <c r="Q17" s="43">
        <f t="shared" si="5"/>
        <v>4.95</v>
      </c>
      <c r="R17" s="43">
        <f t="shared" si="4"/>
        <v>0.49500000000000005</v>
      </c>
    </row>
    <row r="18" spans="1:18" ht="12.75">
      <c r="A18" s="40"/>
      <c r="B18" s="40" t="s">
        <v>137</v>
      </c>
      <c r="C18" s="42">
        <v>0</v>
      </c>
      <c r="D18" s="42"/>
      <c r="E18" s="43">
        <v>72.8</v>
      </c>
      <c r="F18" s="43">
        <f t="shared" si="0"/>
        <v>0</v>
      </c>
      <c r="G18" s="43">
        <f t="shared" si="1"/>
        <v>72.8</v>
      </c>
      <c r="H18" s="43">
        <f t="shared" si="0"/>
        <v>0</v>
      </c>
      <c r="I18" s="49" t="s">
        <v>34</v>
      </c>
      <c r="J18" s="18">
        <v>11.7</v>
      </c>
      <c r="K18" s="43">
        <f t="shared" si="2"/>
        <v>0</v>
      </c>
      <c r="L18" s="43">
        <f t="shared" si="3"/>
        <v>5.85</v>
      </c>
      <c r="M18" s="43">
        <f t="shared" si="2"/>
        <v>0</v>
      </c>
      <c r="N18" s="49"/>
      <c r="O18" s="55">
        <v>15.4</v>
      </c>
      <c r="P18" s="43">
        <f t="shared" si="4"/>
        <v>0</v>
      </c>
      <c r="Q18" s="43">
        <f t="shared" si="5"/>
        <v>15.4</v>
      </c>
      <c r="R18" s="43">
        <f t="shared" si="4"/>
        <v>0</v>
      </c>
    </row>
    <row r="19" spans="1:18" ht="12.75">
      <c r="A19" s="40"/>
      <c r="B19" s="40" t="s">
        <v>39</v>
      </c>
      <c r="C19" s="42">
        <v>0.01</v>
      </c>
      <c r="D19" s="42"/>
      <c r="E19" s="43">
        <v>204.6</v>
      </c>
      <c r="F19" s="43">
        <f t="shared" si="0"/>
        <v>2.046</v>
      </c>
      <c r="G19" s="43">
        <f t="shared" si="1"/>
        <v>204.6</v>
      </c>
      <c r="H19" s="43">
        <f t="shared" si="0"/>
        <v>2.046</v>
      </c>
      <c r="I19" s="49"/>
      <c r="J19" s="18">
        <v>79.1</v>
      </c>
      <c r="K19" s="43">
        <f t="shared" si="2"/>
        <v>0.7909999999999999</v>
      </c>
      <c r="L19" s="43">
        <f t="shared" si="3"/>
        <v>79.1</v>
      </c>
      <c r="M19" s="43">
        <f t="shared" si="2"/>
        <v>0.7909999999999999</v>
      </c>
      <c r="N19" s="49"/>
      <c r="O19" s="55">
        <v>79.7</v>
      </c>
      <c r="P19" s="43">
        <f t="shared" si="4"/>
        <v>0.797</v>
      </c>
      <c r="Q19" s="43">
        <f t="shared" si="5"/>
        <v>79.7</v>
      </c>
      <c r="R19" s="43">
        <f t="shared" si="4"/>
        <v>0.797</v>
      </c>
    </row>
    <row r="20" spans="1:18" ht="12.75">
      <c r="A20" s="40"/>
      <c r="B20" s="40" t="s">
        <v>138</v>
      </c>
      <c r="C20" s="42">
        <v>0</v>
      </c>
      <c r="D20" s="42"/>
      <c r="E20" s="43">
        <v>339</v>
      </c>
      <c r="F20" s="43">
        <f t="shared" si="0"/>
        <v>0</v>
      </c>
      <c r="G20" s="43">
        <f t="shared" si="1"/>
        <v>339</v>
      </c>
      <c r="H20" s="43">
        <f t="shared" si="0"/>
        <v>0</v>
      </c>
      <c r="I20" s="49"/>
      <c r="J20" s="18">
        <v>128.1</v>
      </c>
      <c r="K20" s="43">
        <f t="shared" si="2"/>
        <v>0</v>
      </c>
      <c r="L20" s="43">
        <f t="shared" si="3"/>
        <v>128.1</v>
      </c>
      <c r="M20" s="43">
        <f t="shared" si="2"/>
        <v>0</v>
      </c>
      <c r="N20" s="49"/>
      <c r="O20" s="55">
        <v>127.3</v>
      </c>
      <c r="P20" s="43">
        <f t="shared" si="4"/>
        <v>0</v>
      </c>
      <c r="Q20" s="43">
        <f t="shared" si="5"/>
        <v>127.3</v>
      </c>
      <c r="R20" s="43">
        <f t="shared" si="4"/>
        <v>0</v>
      </c>
    </row>
    <row r="21" spans="1:18" ht="12.75">
      <c r="A21" s="40"/>
      <c r="B21" s="40" t="s">
        <v>40</v>
      </c>
      <c r="C21" s="42">
        <v>0.001</v>
      </c>
      <c r="D21" s="42"/>
      <c r="E21" s="43">
        <v>1232</v>
      </c>
      <c r="F21" s="43">
        <f t="shared" si="0"/>
        <v>1.232</v>
      </c>
      <c r="G21" s="43">
        <f t="shared" si="1"/>
        <v>1232</v>
      </c>
      <c r="H21" s="43">
        <f t="shared" si="0"/>
        <v>1.232</v>
      </c>
      <c r="I21" s="49"/>
      <c r="J21" s="18">
        <v>744</v>
      </c>
      <c r="K21" s="43">
        <f t="shared" si="2"/>
        <v>0.744</v>
      </c>
      <c r="L21" s="43">
        <f t="shared" si="3"/>
        <v>744</v>
      </c>
      <c r="M21" s="43">
        <f t="shared" si="2"/>
        <v>0.744</v>
      </c>
      <c r="N21" s="49"/>
      <c r="O21" s="55">
        <v>659</v>
      </c>
      <c r="P21" s="43">
        <f t="shared" si="4"/>
        <v>0.659</v>
      </c>
      <c r="Q21" s="43">
        <f t="shared" si="5"/>
        <v>659</v>
      </c>
      <c r="R21" s="43">
        <f t="shared" si="4"/>
        <v>0.659</v>
      </c>
    </row>
    <row r="22" spans="1:18" ht="12.75">
      <c r="A22" s="40"/>
      <c r="B22" s="40" t="s">
        <v>41</v>
      </c>
      <c r="C22" s="42">
        <v>0.1</v>
      </c>
      <c r="D22" s="42"/>
      <c r="E22" s="43">
        <v>56</v>
      </c>
      <c r="F22" s="43">
        <f t="shared" si="0"/>
        <v>5.6000000000000005</v>
      </c>
      <c r="G22" s="43">
        <f t="shared" si="1"/>
        <v>56</v>
      </c>
      <c r="H22" s="43">
        <f t="shared" si="0"/>
        <v>5.6000000000000005</v>
      </c>
      <c r="I22" s="49"/>
      <c r="J22" s="18">
        <v>42</v>
      </c>
      <c r="K22" s="43">
        <f t="shared" si="2"/>
        <v>4.2</v>
      </c>
      <c r="L22" s="43">
        <f t="shared" si="3"/>
        <v>42</v>
      </c>
      <c r="M22" s="43">
        <f t="shared" si="2"/>
        <v>4.2</v>
      </c>
      <c r="N22" s="49"/>
      <c r="O22" s="55">
        <v>59</v>
      </c>
      <c r="P22" s="43">
        <f t="shared" si="4"/>
        <v>5.9</v>
      </c>
      <c r="Q22" s="43">
        <f t="shared" si="5"/>
        <v>59</v>
      </c>
      <c r="R22" s="43">
        <f t="shared" si="4"/>
        <v>5.9</v>
      </c>
    </row>
    <row r="23" spans="1:18" ht="12.75">
      <c r="A23" s="40"/>
      <c r="B23" s="40" t="s">
        <v>139</v>
      </c>
      <c r="C23" s="42">
        <v>0</v>
      </c>
      <c r="D23" s="42"/>
      <c r="E23" s="43">
        <v>346</v>
      </c>
      <c r="F23" s="43">
        <f t="shared" si="0"/>
        <v>0</v>
      </c>
      <c r="G23" s="43">
        <f t="shared" si="1"/>
        <v>346</v>
      </c>
      <c r="H23" s="43">
        <f t="shared" si="0"/>
        <v>0</v>
      </c>
      <c r="I23" s="49"/>
      <c r="J23" s="18">
        <v>235</v>
      </c>
      <c r="K23" s="43">
        <f t="shared" si="2"/>
        <v>0</v>
      </c>
      <c r="L23" s="43">
        <f t="shared" si="3"/>
        <v>235</v>
      </c>
      <c r="M23" s="43">
        <f t="shared" si="2"/>
        <v>0</v>
      </c>
      <c r="N23" s="49"/>
      <c r="O23" s="55">
        <v>304</v>
      </c>
      <c r="P23" s="43">
        <f t="shared" si="4"/>
        <v>0</v>
      </c>
      <c r="Q23" s="43">
        <f t="shared" si="5"/>
        <v>304</v>
      </c>
      <c r="R23" s="43">
        <f t="shared" si="4"/>
        <v>0</v>
      </c>
    </row>
    <row r="24" spans="1:18" ht="12.75">
      <c r="A24" s="40"/>
      <c r="B24" s="40" t="s">
        <v>42</v>
      </c>
      <c r="C24" s="42">
        <v>0.05</v>
      </c>
      <c r="D24" s="42"/>
      <c r="E24" s="43">
        <v>77</v>
      </c>
      <c r="F24" s="43">
        <f t="shared" si="0"/>
        <v>3.85</v>
      </c>
      <c r="G24" s="43">
        <f t="shared" si="1"/>
        <v>77</v>
      </c>
      <c r="H24" s="43">
        <f t="shared" si="0"/>
        <v>3.85</v>
      </c>
      <c r="I24" s="49"/>
      <c r="J24" s="18">
        <v>53</v>
      </c>
      <c r="K24" s="43">
        <f t="shared" si="2"/>
        <v>2.6500000000000004</v>
      </c>
      <c r="L24" s="43">
        <f t="shared" si="3"/>
        <v>53</v>
      </c>
      <c r="M24" s="43">
        <f t="shared" si="2"/>
        <v>2.6500000000000004</v>
      </c>
      <c r="N24" s="49"/>
      <c r="O24" s="55">
        <v>68</v>
      </c>
      <c r="P24" s="43">
        <f t="shared" si="4"/>
        <v>3.4000000000000004</v>
      </c>
      <c r="Q24" s="43">
        <f t="shared" si="5"/>
        <v>68</v>
      </c>
      <c r="R24" s="43">
        <f t="shared" si="4"/>
        <v>3.4000000000000004</v>
      </c>
    </row>
    <row r="25" spans="1:18" ht="12.75">
      <c r="A25" s="40"/>
      <c r="B25" s="40" t="s">
        <v>43</v>
      </c>
      <c r="C25" s="42">
        <v>0.5</v>
      </c>
      <c r="D25" s="42"/>
      <c r="E25" s="43">
        <v>46</v>
      </c>
      <c r="F25" s="43">
        <f t="shared" si="0"/>
        <v>23</v>
      </c>
      <c r="G25" s="43">
        <f t="shared" si="1"/>
        <v>46</v>
      </c>
      <c r="H25" s="43">
        <f t="shared" si="0"/>
        <v>23</v>
      </c>
      <c r="I25" s="49"/>
      <c r="J25" s="18">
        <v>32</v>
      </c>
      <c r="K25" s="43">
        <f t="shared" si="2"/>
        <v>16</v>
      </c>
      <c r="L25" s="43">
        <f t="shared" si="3"/>
        <v>32</v>
      </c>
      <c r="M25" s="43">
        <f t="shared" si="2"/>
        <v>16</v>
      </c>
      <c r="N25" s="49"/>
      <c r="O25" s="55">
        <v>41</v>
      </c>
      <c r="P25" s="43">
        <f t="shared" si="4"/>
        <v>20.5</v>
      </c>
      <c r="Q25" s="43">
        <f t="shared" si="5"/>
        <v>41</v>
      </c>
      <c r="R25" s="43">
        <f t="shared" si="4"/>
        <v>20.5</v>
      </c>
    </row>
    <row r="26" spans="1:18" ht="12.75">
      <c r="A26" s="40"/>
      <c r="B26" s="40" t="s">
        <v>140</v>
      </c>
      <c r="C26" s="42">
        <v>0</v>
      </c>
      <c r="D26" s="42"/>
      <c r="E26" s="43">
        <v>625</v>
      </c>
      <c r="F26" s="43">
        <f t="shared" si="0"/>
        <v>0</v>
      </c>
      <c r="G26" s="43">
        <f t="shared" si="1"/>
        <v>625</v>
      </c>
      <c r="H26" s="43">
        <f t="shared" si="0"/>
        <v>0</v>
      </c>
      <c r="I26" s="49"/>
      <c r="J26" s="18">
        <v>402</v>
      </c>
      <c r="K26" s="43">
        <f t="shared" si="2"/>
        <v>0</v>
      </c>
      <c r="L26" s="43">
        <f t="shared" si="3"/>
        <v>402</v>
      </c>
      <c r="M26" s="43">
        <f t="shared" si="2"/>
        <v>0</v>
      </c>
      <c r="N26" s="49"/>
      <c r="O26" s="55">
        <v>485</v>
      </c>
      <c r="P26" s="43">
        <f t="shared" si="4"/>
        <v>0</v>
      </c>
      <c r="Q26" s="43">
        <f t="shared" si="5"/>
        <v>485</v>
      </c>
      <c r="R26" s="43">
        <f t="shared" si="4"/>
        <v>0</v>
      </c>
    </row>
    <row r="27" spans="1:18" ht="12.75">
      <c r="A27" s="40"/>
      <c r="B27" s="40" t="s">
        <v>44</v>
      </c>
      <c r="C27" s="42">
        <v>0.1</v>
      </c>
      <c r="D27" s="42"/>
      <c r="E27" s="43">
        <v>594</v>
      </c>
      <c r="F27" s="43">
        <f t="shared" si="0"/>
        <v>59.400000000000006</v>
      </c>
      <c r="G27" s="43">
        <f t="shared" si="1"/>
        <v>594</v>
      </c>
      <c r="H27" s="43">
        <f t="shared" si="0"/>
        <v>59.400000000000006</v>
      </c>
      <c r="I27" s="49"/>
      <c r="J27" s="18">
        <v>337</v>
      </c>
      <c r="K27" s="43">
        <f t="shared" si="2"/>
        <v>33.7</v>
      </c>
      <c r="L27" s="43">
        <f t="shared" si="3"/>
        <v>337</v>
      </c>
      <c r="M27" s="43">
        <f t="shared" si="2"/>
        <v>33.7</v>
      </c>
      <c r="N27" s="49"/>
      <c r="O27" s="55">
        <v>446</v>
      </c>
      <c r="P27" s="43">
        <f t="shared" si="4"/>
        <v>44.6</v>
      </c>
      <c r="Q27" s="43">
        <f t="shared" si="5"/>
        <v>446</v>
      </c>
      <c r="R27" s="43">
        <f t="shared" si="4"/>
        <v>44.6</v>
      </c>
    </row>
    <row r="28" spans="1:18" ht="12.75">
      <c r="A28" s="40"/>
      <c r="B28" s="40" t="s">
        <v>45</v>
      </c>
      <c r="C28" s="42">
        <v>0.1</v>
      </c>
      <c r="D28" s="42"/>
      <c r="E28" s="43">
        <v>326</v>
      </c>
      <c r="F28" s="43">
        <f t="shared" si="0"/>
        <v>32.6</v>
      </c>
      <c r="G28" s="43">
        <f t="shared" si="1"/>
        <v>326</v>
      </c>
      <c r="H28" s="43">
        <f t="shared" si="0"/>
        <v>32.6</v>
      </c>
      <c r="I28" s="49"/>
      <c r="J28" s="18">
        <v>130</v>
      </c>
      <c r="K28" s="43">
        <f t="shared" si="2"/>
        <v>13</v>
      </c>
      <c r="L28" s="43">
        <f t="shared" si="3"/>
        <v>130</v>
      </c>
      <c r="M28" s="43">
        <f t="shared" si="2"/>
        <v>13</v>
      </c>
      <c r="N28" s="49"/>
      <c r="O28" s="55">
        <v>167</v>
      </c>
      <c r="P28" s="43">
        <f t="shared" si="4"/>
        <v>16.7</v>
      </c>
      <c r="Q28" s="43">
        <f t="shared" si="5"/>
        <v>167</v>
      </c>
      <c r="R28" s="43">
        <f t="shared" si="4"/>
        <v>16.7</v>
      </c>
    </row>
    <row r="29" spans="1:18" ht="12.75">
      <c r="A29" s="40"/>
      <c r="B29" s="40" t="s">
        <v>46</v>
      </c>
      <c r="C29" s="42">
        <v>0.1</v>
      </c>
      <c r="D29" s="42"/>
      <c r="E29" s="43">
        <v>129</v>
      </c>
      <c r="F29" s="43">
        <f t="shared" si="0"/>
        <v>12.9</v>
      </c>
      <c r="G29" s="43">
        <f t="shared" si="1"/>
        <v>129</v>
      </c>
      <c r="H29" s="43">
        <f t="shared" si="0"/>
        <v>12.9</v>
      </c>
      <c r="I29" s="49"/>
      <c r="J29" s="18">
        <v>54</v>
      </c>
      <c r="K29" s="43">
        <f t="shared" si="2"/>
        <v>5.4</v>
      </c>
      <c r="L29" s="43">
        <f t="shared" si="3"/>
        <v>54</v>
      </c>
      <c r="M29" s="43">
        <f t="shared" si="2"/>
        <v>5.4</v>
      </c>
      <c r="N29" s="49"/>
      <c r="O29" s="55">
        <v>71</v>
      </c>
      <c r="P29" s="43">
        <f t="shared" si="4"/>
        <v>7.1000000000000005</v>
      </c>
      <c r="Q29" s="43">
        <f t="shared" si="5"/>
        <v>71</v>
      </c>
      <c r="R29" s="43">
        <f t="shared" si="4"/>
        <v>7.1000000000000005</v>
      </c>
    </row>
    <row r="30" spans="1:18" ht="12.75">
      <c r="A30" s="40"/>
      <c r="B30" s="40" t="s">
        <v>47</v>
      </c>
      <c r="C30" s="42">
        <v>0.1</v>
      </c>
      <c r="D30" s="42"/>
      <c r="E30" s="43">
        <v>110</v>
      </c>
      <c r="F30" s="43">
        <f t="shared" si="0"/>
        <v>11</v>
      </c>
      <c r="G30" s="43">
        <f t="shared" si="1"/>
        <v>110</v>
      </c>
      <c r="H30" s="43">
        <f t="shared" si="0"/>
        <v>11</v>
      </c>
      <c r="I30" s="49"/>
      <c r="J30" s="18">
        <v>48</v>
      </c>
      <c r="K30" s="43">
        <f t="shared" si="2"/>
        <v>4.800000000000001</v>
      </c>
      <c r="L30" s="43">
        <f t="shared" si="3"/>
        <v>48</v>
      </c>
      <c r="M30" s="43">
        <f t="shared" si="2"/>
        <v>4.800000000000001</v>
      </c>
      <c r="N30" s="49"/>
      <c r="O30" s="55">
        <v>61</v>
      </c>
      <c r="P30" s="43">
        <f t="shared" si="4"/>
        <v>6.1000000000000005</v>
      </c>
      <c r="Q30" s="43">
        <f t="shared" si="5"/>
        <v>61</v>
      </c>
      <c r="R30" s="43">
        <f t="shared" si="4"/>
        <v>6.1000000000000005</v>
      </c>
    </row>
    <row r="31" spans="1:18" ht="12.75">
      <c r="A31" s="40"/>
      <c r="B31" s="40" t="s">
        <v>141</v>
      </c>
      <c r="C31" s="42">
        <v>0</v>
      </c>
      <c r="D31" s="42"/>
      <c r="E31" s="43">
        <v>2607</v>
      </c>
      <c r="F31" s="43">
        <f t="shared" si="0"/>
        <v>0</v>
      </c>
      <c r="G31" s="43">
        <f t="shared" si="1"/>
        <v>2607</v>
      </c>
      <c r="H31" s="43">
        <f t="shared" si="0"/>
        <v>0</v>
      </c>
      <c r="I31" s="49"/>
      <c r="J31" s="18">
        <v>1193</v>
      </c>
      <c r="K31" s="43">
        <f t="shared" si="2"/>
        <v>0</v>
      </c>
      <c r="L31" s="43">
        <f t="shared" si="3"/>
        <v>1193</v>
      </c>
      <c r="M31" s="43">
        <f t="shared" si="2"/>
        <v>0</v>
      </c>
      <c r="N31" s="49"/>
      <c r="O31" s="55">
        <v>1507</v>
      </c>
      <c r="P31" s="43">
        <f t="shared" si="4"/>
        <v>0</v>
      </c>
      <c r="Q31" s="43">
        <f t="shared" si="5"/>
        <v>1507</v>
      </c>
      <c r="R31" s="43">
        <f t="shared" si="4"/>
        <v>0</v>
      </c>
    </row>
    <row r="32" spans="1:18" ht="12.75">
      <c r="A32" s="40"/>
      <c r="B32" s="40" t="s">
        <v>48</v>
      </c>
      <c r="C32" s="42">
        <v>0.01</v>
      </c>
      <c r="D32" s="42"/>
      <c r="E32" s="43">
        <v>4889</v>
      </c>
      <c r="F32" s="43">
        <f t="shared" si="0"/>
        <v>48.89</v>
      </c>
      <c r="G32" s="43">
        <f t="shared" si="1"/>
        <v>4889</v>
      </c>
      <c r="H32" s="43">
        <f t="shared" si="0"/>
        <v>48.89</v>
      </c>
      <c r="I32" s="49"/>
      <c r="J32" s="18">
        <v>1753</v>
      </c>
      <c r="K32" s="43">
        <f t="shared" si="2"/>
        <v>17.53</v>
      </c>
      <c r="L32" s="43">
        <f t="shared" si="3"/>
        <v>1753</v>
      </c>
      <c r="M32" s="43">
        <f t="shared" si="2"/>
        <v>17.53</v>
      </c>
      <c r="N32" s="49"/>
      <c r="O32" s="55">
        <v>2477</v>
      </c>
      <c r="P32" s="43">
        <f t="shared" si="4"/>
        <v>24.77</v>
      </c>
      <c r="Q32" s="43">
        <f t="shared" si="5"/>
        <v>2477</v>
      </c>
      <c r="R32" s="43">
        <f t="shared" si="4"/>
        <v>24.77</v>
      </c>
    </row>
    <row r="33" spans="1:18" ht="12.75">
      <c r="A33" s="40"/>
      <c r="B33" s="40" t="s">
        <v>49</v>
      </c>
      <c r="C33" s="42">
        <v>0.01</v>
      </c>
      <c r="D33" s="42"/>
      <c r="E33" s="43">
        <v>1349</v>
      </c>
      <c r="F33" s="43">
        <f t="shared" si="0"/>
        <v>13.49</v>
      </c>
      <c r="G33" s="43">
        <f t="shared" si="1"/>
        <v>1349</v>
      </c>
      <c r="H33" s="43">
        <f t="shared" si="0"/>
        <v>13.49</v>
      </c>
      <c r="I33" s="49"/>
      <c r="J33" s="18">
        <v>476</v>
      </c>
      <c r="K33" s="43">
        <f t="shared" si="2"/>
        <v>4.76</v>
      </c>
      <c r="L33" s="43">
        <f t="shared" si="3"/>
        <v>476</v>
      </c>
      <c r="M33" s="43">
        <f t="shared" si="2"/>
        <v>4.76</v>
      </c>
      <c r="N33" s="49"/>
      <c r="O33" s="55">
        <v>550</v>
      </c>
      <c r="P33" s="43">
        <f t="shared" si="4"/>
        <v>5.5</v>
      </c>
      <c r="Q33" s="43">
        <f t="shared" si="5"/>
        <v>550</v>
      </c>
      <c r="R33" s="43">
        <f t="shared" si="4"/>
        <v>5.5</v>
      </c>
    </row>
    <row r="34" spans="1:18" ht="12.75">
      <c r="A34" s="40"/>
      <c r="B34" s="40" t="s">
        <v>142</v>
      </c>
      <c r="C34" s="42">
        <v>0</v>
      </c>
      <c r="D34" s="42"/>
      <c r="E34" s="43">
        <v>9900</v>
      </c>
      <c r="F34" s="43">
        <f t="shared" si="0"/>
        <v>0</v>
      </c>
      <c r="G34" s="43">
        <f t="shared" si="1"/>
        <v>9900</v>
      </c>
      <c r="H34" s="43">
        <f t="shared" si="0"/>
        <v>0</v>
      </c>
      <c r="I34" s="49"/>
      <c r="J34" s="18">
        <v>3361</v>
      </c>
      <c r="K34" s="43">
        <f t="shared" si="2"/>
        <v>0</v>
      </c>
      <c r="L34" s="43">
        <f t="shared" si="3"/>
        <v>3361</v>
      </c>
      <c r="M34" s="43">
        <f t="shared" si="2"/>
        <v>0</v>
      </c>
      <c r="N34" s="49"/>
      <c r="O34" s="55">
        <v>4314</v>
      </c>
      <c r="P34" s="43">
        <f t="shared" si="4"/>
        <v>0</v>
      </c>
      <c r="Q34" s="43">
        <f t="shared" si="5"/>
        <v>4314</v>
      </c>
      <c r="R34" s="43">
        <f t="shared" si="4"/>
        <v>0</v>
      </c>
    </row>
    <row r="35" spans="1:18" ht="12.75">
      <c r="A35" s="40"/>
      <c r="B35" s="40" t="s">
        <v>50</v>
      </c>
      <c r="C35" s="42">
        <v>0.001</v>
      </c>
      <c r="D35" s="42"/>
      <c r="E35" s="43">
        <v>37100</v>
      </c>
      <c r="F35" s="43">
        <f t="shared" si="0"/>
        <v>37.1</v>
      </c>
      <c r="G35" s="43">
        <f t="shared" si="1"/>
        <v>37100</v>
      </c>
      <c r="H35" s="43">
        <f t="shared" si="0"/>
        <v>37.1</v>
      </c>
      <c r="I35" s="49"/>
      <c r="J35" s="18">
        <v>21360</v>
      </c>
      <c r="K35" s="43">
        <f t="shared" si="2"/>
        <v>21.36</v>
      </c>
      <c r="L35" s="43">
        <f t="shared" si="3"/>
        <v>21360</v>
      </c>
      <c r="M35" s="43">
        <f t="shared" si="2"/>
        <v>21.36</v>
      </c>
      <c r="N35" s="49"/>
      <c r="O35" s="55">
        <v>24300</v>
      </c>
      <c r="P35" s="43">
        <f t="shared" si="4"/>
        <v>24.3</v>
      </c>
      <c r="Q35" s="43">
        <f t="shared" si="5"/>
        <v>24300</v>
      </c>
      <c r="R35" s="43">
        <f t="shared" si="4"/>
        <v>24.3</v>
      </c>
    </row>
    <row r="36" spans="1:18" ht="12.75">
      <c r="A36" s="40"/>
      <c r="B36" s="40"/>
      <c r="C36" s="40"/>
      <c r="D36" s="40"/>
      <c r="E36" s="43"/>
      <c r="F36" s="43"/>
      <c r="G36" s="43"/>
      <c r="H36" s="43"/>
      <c r="I36" s="46"/>
      <c r="J36" s="18"/>
      <c r="K36" s="43"/>
      <c r="L36" s="43"/>
      <c r="M36" s="43"/>
      <c r="N36" s="46"/>
      <c r="O36" s="18"/>
      <c r="P36" s="48"/>
      <c r="Q36" s="46"/>
      <c r="R36" s="48"/>
    </row>
    <row r="37" spans="1:18" ht="12.75">
      <c r="A37" s="40"/>
      <c r="B37" s="40" t="s">
        <v>51</v>
      </c>
      <c r="C37" s="40"/>
      <c r="D37" s="40"/>
      <c r="F37" s="46">
        <v>123.589</v>
      </c>
      <c r="G37" s="46">
        <v>123.589</v>
      </c>
      <c r="H37" s="46">
        <v>123.589</v>
      </c>
      <c r="I37" s="46"/>
      <c r="J37" s="46"/>
      <c r="K37" s="46">
        <v>126.147</v>
      </c>
      <c r="L37" s="46">
        <v>126.147</v>
      </c>
      <c r="M37" s="46">
        <v>126.147</v>
      </c>
      <c r="N37" s="46"/>
      <c r="O37" s="46"/>
      <c r="P37" s="46">
        <v>125.359</v>
      </c>
      <c r="Q37" s="46">
        <v>125.359</v>
      </c>
      <c r="R37" s="46">
        <v>125.359</v>
      </c>
    </row>
    <row r="38" spans="1:18" ht="12.75">
      <c r="A38" s="40"/>
      <c r="B38" s="40" t="s">
        <v>80</v>
      </c>
      <c r="C38" s="40"/>
      <c r="D38" s="40"/>
      <c r="F38" s="46">
        <v>9.42</v>
      </c>
      <c r="G38" s="46">
        <v>9.42</v>
      </c>
      <c r="H38" s="46">
        <v>9.42</v>
      </c>
      <c r="I38" s="46"/>
      <c r="J38" s="46"/>
      <c r="K38" s="43">
        <v>9.43</v>
      </c>
      <c r="L38" s="43">
        <v>9.43</v>
      </c>
      <c r="M38" s="43">
        <v>9.43</v>
      </c>
      <c r="N38" s="46"/>
      <c r="O38" s="46"/>
      <c r="P38" s="46">
        <v>9.52</v>
      </c>
      <c r="Q38" s="46">
        <v>9.52</v>
      </c>
      <c r="R38" s="46">
        <v>9.52</v>
      </c>
    </row>
    <row r="39" spans="1:18" ht="12.75">
      <c r="A39" s="40"/>
      <c r="B39" s="40"/>
      <c r="C39" s="40"/>
      <c r="D39" s="40"/>
      <c r="E39" s="43"/>
      <c r="F39" s="47"/>
      <c r="G39" s="43"/>
      <c r="H39" s="47"/>
      <c r="I39" s="18"/>
      <c r="J39" s="46"/>
      <c r="K39" s="47"/>
      <c r="L39" s="43"/>
      <c r="M39" s="47"/>
      <c r="N39" s="46"/>
      <c r="O39" s="46"/>
      <c r="P39" s="46"/>
      <c r="Q39" s="46"/>
      <c r="R39" s="46"/>
    </row>
    <row r="40" spans="1:18" ht="12.75">
      <c r="A40" s="40"/>
      <c r="B40" s="40" t="s">
        <v>67</v>
      </c>
      <c r="C40" s="49"/>
      <c r="D40" s="49"/>
      <c r="E40" s="43"/>
      <c r="F40" s="49">
        <f>SUM(F11:F35)</f>
        <v>262.38800000000003</v>
      </c>
      <c r="G40" s="43">
        <f>SUM(G35,G34,G31,G26,G23,G21,G20,G18,G14,G12)</f>
        <v>52227.9</v>
      </c>
      <c r="H40" s="49">
        <f>SUM(H11:H35)</f>
        <v>258.16300000000007</v>
      </c>
      <c r="I40" s="49"/>
      <c r="J40" s="43"/>
      <c r="K40" s="49">
        <f>SUM(K11:K35)</f>
        <v>135.065</v>
      </c>
      <c r="L40" s="43">
        <f>SUM(L35,L34,L31,L26,L23,L21,L20,L18,L14,L12)</f>
        <v>27433.699999999997</v>
      </c>
      <c r="M40" s="49">
        <f>SUM(M11:M35)</f>
        <v>130</v>
      </c>
      <c r="N40" s="49"/>
      <c r="O40" s="46"/>
      <c r="P40" s="49">
        <f>SUM(P11:P35)</f>
        <v>168.826</v>
      </c>
      <c r="Q40" s="43">
        <f>SUM(Q35,Q34,Q31,Q26,Q23,Q21,Q20,Q18,Q14,Q12)</f>
        <v>31715.65</v>
      </c>
      <c r="R40" s="49">
        <f>SUM(R11:R35)</f>
        <v>164.576</v>
      </c>
    </row>
    <row r="41" spans="1:18" ht="12.75">
      <c r="A41" s="40"/>
      <c r="B41" s="40" t="s">
        <v>52</v>
      </c>
      <c r="C41" s="49"/>
      <c r="D41" s="43">
        <f>(F41-H41)*2/F41*100</f>
        <v>3.220421665624927</v>
      </c>
      <c r="E41" s="43"/>
      <c r="F41" s="49">
        <f>F40/F37/0.0283*(21-7)/(21-F38)/1000</f>
        <v>0.09069789167577309</v>
      </c>
      <c r="G41" s="46">
        <f>(G40/G37/0.0283*(21-7)/(21-G38))/1000</f>
        <v>18.05326621893192</v>
      </c>
      <c r="H41" s="49">
        <f>H40/H37/0.0283*(21-7)/(21-H38)/1000</f>
        <v>0.08923746439887728</v>
      </c>
      <c r="I41" s="43">
        <f>(K41-M41)*2/K41*100</f>
        <v>7.500092548032447</v>
      </c>
      <c r="J41" s="46"/>
      <c r="K41" s="49">
        <f>K40/K37/0.0283*(21-7)/(21-K38)/1000</f>
        <v>0.04577982597551871</v>
      </c>
      <c r="L41" s="46">
        <f>(L40/L37/0.0283*(21-7)/(21-L38))/1000</f>
        <v>9.298560040458947</v>
      </c>
      <c r="M41" s="49">
        <f>M40/M37/0.0283*(21-7)/(21-M38)/1000</f>
        <v>0.04406306131727266</v>
      </c>
      <c r="N41" s="43">
        <f>(P41-R41)*2/P41*100</f>
        <v>5.0347695260208685</v>
      </c>
      <c r="O41" s="46"/>
      <c r="P41" s="49">
        <f>P40/P37/0.0283*(21-7)/(21-P38)/1000</f>
        <v>0.058034136096440855</v>
      </c>
      <c r="Q41" s="46">
        <f>(Q40/Q37/0.0283*(21-7)/(21-Q38))/1000</f>
        <v>10.902291995824603</v>
      </c>
      <c r="R41" s="49">
        <f>R40/R37/0.0283*(21-7)/(21-R38)/1000</f>
        <v>0.056573193597004315</v>
      </c>
    </row>
    <row r="42" spans="1:18" ht="12.75">
      <c r="A42" s="40"/>
      <c r="B42" s="40"/>
      <c r="C42" s="40"/>
      <c r="D42" s="40"/>
      <c r="E42" s="43"/>
      <c r="F42" s="43"/>
      <c r="G42" s="43"/>
      <c r="H42" s="43"/>
      <c r="I42" s="45"/>
      <c r="J42" s="45"/>
      <c r="K42" s="45"/>
      <c r="L42" s="45"/>
      <c r="M42" s="45"/>
      <c r="N42" s="45"/>
      <c r="O42" s="45"/>
      <c r="P42" s="48"/>
      <c r="Q42" s="45"/>
      <c r="R42" s="48"/>
    </row>
    <row r="43" spans="1:18" ht="12.75">
      <c r="A43" s="46"/>
      <c r="B43" s="40" t="s">
        <v>81</v>
      </c>
      <c r="C43" s="45">
        <f>AVERAGE(H41,M41,R41)</f>
        <v>0.06329123977105143</v>
      </c>
      <c r="D43" s="46"/>
      <c r="E43" s="43"/>
      <c r="F43" s="43"/>
      <c r="G43" s="43"/>
      <c r="H43" s="43"/>
      <c r="I43" s="46"/>
      <c r="J43" s="46"/>
      <c r="K43" s="46"/>
      <c r="L43" s="46"/>
      <c r="M43" s="46"/>
      <c r="N43" s="46"/>
      <c r="O43" s="46"/>
      <c r="P43" s="48"/>
      <c r="Q43" s="46"/>
      <c r="R43" s="48"/>
    </row>
    <row r="44" spans="1:18" ht="12.75">
      <c r="A44" s="40"/>
      <c r="B44" s="40" t="s">
        <v>82</v>
      </c>
      <c r="C44" s="46">
        <f>AVERAGE(G41,L41,Q41)</f>
        <v>12.751372751738492</v>
      </c>
      <c r="D44" s="40"/>
      <c r="E44" s="43"/>
      <c r="F44" s="43"/>
      <c r="G44" s="43"/>
      <c r="H44" s="43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1"/>
      <c r="B85" s="1"/>
      <c r="C85" s="1"/>
      <c r="D85" s="1"/>
      <c r="E85" s="3"/>
      <c r="G85" s="3"/>
      <c r="J85" s="6"/>
      <c r="K85" s="5"/>
      <c r="L85" s="3"/>
      <c r="M85" s="5"/>
      <c r="N85" s="6"/>
      <c r="O85" s="6"/>
      <c r="P85" s="6"/>
      <c r="Q85" s="6"/>
      <c r="R85" s="6"/>
    </row>
    <row r="86" spans="1:18" ht="12.75">
      <c r="A86" s="1"/>
      <c r="B86" s="1"/>
      <c r="C86" s="2"/>
      <c r="D86" s="2"/>
      <c r="E86" s="3"/>
      <c r="F86" s="3"/>
      <c r="G86" s="3"/>
      <c r="H86" s="3"/>
      <c r="I86" s="2"/>
      <c r="J86" s="3"/>
      <c r="K86" s="3"/>
      <c r="L86" s="3"/>
      <c r="M86" s="3"/>
      <c r="N86" s="2"/>
      <c r="O86" s="6"/>
      <c r="P86" s="2"/>
      <c r="Q86" s="2"/>
      <c r="R86" s="2"/>
    </row>
    <row r="87" spans="1:18" ht="12.75">
      <c r="A87" s="1"/>
      <c r="B87" s="1"/>
      <c r="C87" s="2"/>
      <c r="D87" s="2"/>
      <c r="E87" s="3"/>
      <c r="F87" s="3"/>
      <c r="G87" s="3"/>
      <c r="H87" s="3"/>
      <c r="I87" s="2"/>
      <c r="J87" s="6"/>
      <c r="K87" s="2"/>
      <c r="L87" s="3"/>
      <c r="M87" s="2"/>
      <c r="N87" s="2"/>
      <c r="O87" s="6"/>
      <c r="P87" s="4"/>
      <c r="Q87" s="4"/>
      <c r="R87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37" sqref="B37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6.57421875" style="0" customWidth="1"/>
    <col min="5" max="5" width="9.421875" style="5" customWidth="1"/>
    <col min="6" max="6" width="9.8515625" style="5" customWidth="1"/>
    <col min="7" max="7" width="10.7109375" style="5" customWidth="1"/>
    <col min="8" max="8" width="9.8515625" style="5" customWidth="1"/>
    <col min="9" max="9" width="3.421875" style="0" customWidth="1"/>
    <col min="11" max="11" width="9.28125" style="0" customWidth="1"/>
    <col min="13" max="13" width="9.28125" style="0" customWidth="1"/>
    <col min="14" max="14" width="5.14062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93</v>
      </c>
      <c r="B1" s="40"/>
      <c r="C1" s="40"/>
      <c r="D1" s="40"/>
      <c r="E1" s="43"/>
      <c r="F1" s="43"/>
      <c r="G1" s="43"/>
      <c r="H1" s="43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0" t="s">
        <v>243</v>
      </c>
      <c r="B2" s="40"/>
      <c r="C2" s="40"/>
      <c r="D2" s="40"/>
      <c r="E2" s="43"/>
      <c r="F2" s="43"/>
      <c r="G2" s="43"/>
      <c r="H2" s="43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0" t="s">
        <v>25</v>
      </c>
      <c r="B3" s="40"/>
      <c r="C3" s="13" t="s">
        <v>155</v>
      </c>
      <c r="D3" s="13"/>
      <c r="E3" s="43"/>
      <c r="F3" s="43"/>
      <c r="G3" s="43"/>
      <c r="H3" s="43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0" t="s">
        <v>26</v>
      </c>
      <c r="B4" s="40"/>
      <c r="C4" s="13" t="s">
        <v>190</v>
      </c>
      <c r="D4" s="13"/>
      <c r="E4" s="62"/>
      <c r="F4" s="16"/>
      <c r="G4" s="62"/>
      <c r="H4" s="16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40" t="s">
        <v>27</v>
      </c>
      <c r="B5" s="40"/>
      <c r="C5" s="18" t="str">
        <f>cond!C30</f>
        <v>Normal comb temp</v>
      </c>
      <c r="D5" s="18"/>
      <c r="E5" s="47"/>
      <c r="F5" s="47"/>
      <c r="G5" s="47"/>
      <c r="H5" s="47"/>
      <c r="I5" s="18"/>
      <c r="J5" s="18"/>
      <c r="K5" s="48"/>
      <c r="L5" s="18"/>
      <c r="M5" s="48"/>
      <c r="N5" s="48"/>
      <c r="O5" s="48"/>
      <c r="P5" s="48"/>
      <c r="Q5" s="48"/>
      <c r="R5" s="48"/>
    </row>
    <row r="6" spans="1:18" ht="12.75">
      <c r="A6" s="40"/>
      <c r="B6" s="40"/>
      <c r="C6" s="42"/>
      <c r="D6" s="42"/>
      <c r="E6" s="16"/>
      <c r="F6" s="43"/>
      <c r="G6" s="16"/>
      <c r="H6" s="43"/>
      <c r="I6" s="48"/>
      <c r="J6" s="52"/>
      <c r="K6" s="48"/>
      <c r="L6" s="52"/>
      <c r="M6" s="48"/>
      <c r="N6" s="48"/>
      <c r="O6" s="52"/>
      <c r="P6" s="48"/>
      <c r="Q6" s="52"/>
      <c r="R6" s="48"/>
    </row>
    <row r="7" spans="1:18" s="71" customFormat="1" ht="12.75">
      <c r="A7" s="40"/>
      <c r="B7" s="40"/>
      <c r="C7" s="42" t="s">
        <v>28</v>
      </c>
      <c r="D7" s="42"/>
      <c r="E7" s="63" t="s">
        <v>68</v>
      </c>
      <c r="F7" s="63"/>
      <c r="G7" s="63"/>
      <c r="H7" s="63"/>
      <c r="I7" s="17"/>
      <c r="J7" s="53" t="s">
        <v>69</v>
      </c>
      <c r="K7" s="53"/>
      <c r="L7" s="53"/>
      <c r="M7" s="53"/>
      <c r="N7" s="17"/>
      <c r="O7" s="53" t="s">
        <v>70</v>
      </c>
      <c r="P7" s="53"/>
      <c r="Q7" s="53"/>
      <c r="R7" s="53"/>
    </row>
    <row r="8" spans="1:18" s="71" customFormat="1" ht="12.75">
      <c r="A8" s="40"/>
      <c r="B8" s="40"/>
      <c r="C8" s="42" t="s">
        <v>29</v>
      </c>
      <c r="D8" s="40"/>
      <c r="E8" s="16" t="s">
        <v>30</v>
      </c>
      <c r="F8" s="16" t="s">
        <v>31</v>
      </c>
      <c r="G8" s="16" t="s">
        <v>30</v>
      </c>
      <c r="H8" s="16" t="s">
        <v>31</v>
      </c>
      <c r="I8" s="48"/>
      <c r="J8" s="52" t="s">
        <v>30</v>
      </c>
      <c r="K8" s="52" t="s">
        <v>32</v>
      </c>
      <c r="L8" s="52" t="s">
        <v>30</v>
      </c>
      <c r="M8" s="52" t="s">
        <v>32</v>
      </c>
      <c r="N8" s="48"/>
      <c r="O8" s="52" t="s">
        <v>30</v>
      </c>
      <c r="P8" s="52" t="s">
        <v>32</v>
      </c>
      <c r="Q8" s="52" t="s">
        <v>30</v>
      </c>
      <c r="R8" s="52" t="s">
        <v>32</v>
      </c>
    </row>
    <row r="9" spans="1:18" s="71" customFormat="1" ht="12.75">
      <c r="A9" s="40"/>
      <c r="B9" s="40"/>
      <c r="C9" s="42"/>
      <c r="D9" s="40"/>
      <c r="E9" s="52" t="s">
        <v>238</v>
      </c>
      <c r="F9" s="52" t="s">
        <v>238</v>
      </c>
      <c r="G9" s="16" t="s">
        <v>92</v>
      </c>
      <c r="H9" s="16" t="s">
        <v>92</v>
      </c>
      <c r="I9" s="48"/>
      <c r="J9" s="52" t="s">
        <v>238</v>
      </c>
      <c r="K9" s="52" t="s">
        <v>238</v>
      </c>
      <c r="L9" s="52" t="s">
        <v>92</v>
      </c>
      <c r="M9" s="51" t="s">
        <v>92</v>
      </c>
      <c r="N9" s="48"/>
      <c r="O9" s="52" t="s">
        <v>238</v>
      </c>
      <c r="P9" s="52" t="s">
        <v>238</v>
      </c>
      <c r="Q9" s="52" t="s">
        <v>92</v>
      </c>
      <c r="R9" s="51" t="s">
        <v>92</v>
      </c>
    </row>
    <row r="10" spans="1:18" ht="12.75">
      <c r="A10" s="40" t="s">
        <v>66</v>
      </c>
      <c r="B10" s="40"/>
      <c r="C10" s="40"/>
      <c r="D10" s="40"/>
      <c r="E10" s="43"/>
      <c r="F10" s="43"/>
      <c r="G10" s="43"/>
      <c r="H10" s="43"/>
      <c r="I10" s="48"/>
      <c r="J10" s="48"/>
      <c r="K10" s="48"/>
      <c r="L10" s="48"/>
      <c r="M10" s="48"/>
      <c r="N10" s="48"/>
      <c r="O10" s="43"/>
      <c r="P10" s="48"/>
      <c r="Q10" s="48"/>
      <c r="R10" s="48"/>
    </row>
    <row r="11" spans="1:18" ht="12.75">
      <c r="A11" s="40"/>
      <c r="B11" s="40" t="s">
        <v>33</v>
      </c>
      <c r="C11" s="42">
        <v>1</v>
      </c>
      <c r="D11" s="42" t="s">
        <v>34</v>
      </c>
      <c r="E11" s="43">
        <v>4.2</v>
      </c>
      <c r="F11" s="43">
        <f>IF(E11="","",E11*$C11)</f>
        <v>4.2</v>
      </c>
      <c r="G11" s="43">
        <f>IF(E11=0,"",IF(D11="nd",E11/2,E11))</f>
        <v>2.1</v>
      </c>
      <c r="H11" s="43">
        <f>IF(G11="","",G11*$C11)</f>
        <v>2.1</v>
      </c>
      <c r="I11" s="49" t="s">
        <v>34</v>
      </c>
      <c r="J11" s="18">
        <v>2.4</v>
      </c>
      <c r="K11" s="43">
        <f>IF(J11="","",J11*$C11)</f>
        <v>2.4</v>
      </c>
      <c r="L11" s="43">
        <f>IF(J11=0,"",IF(I11="nd",J11/2,J11))</f>
        <v>1.2</v>
      </c>
      <c r="M11" s="43">
        <f>IF(L11="","",L11*$C11)</f>
        <v>1.2</v>
      </c>
      <c r="N11" s="49" t="s">
        <v>34</v>
      </c>
      <c r="O11" s="54">
        <v>2.3</v>
      </c>
      <c r="P11" s="43">
        <f>IF(O11="","",O11*$C11)</f>
        <v>2.3</v>
      </c>
      <c r="Q11" s="43">
        <f>IF(O11=0,"",IF(N11="nd",O11/2,O11))</f>
        <v>1.15</v>
      </c>
      <c r="R11" s="43">
        <f>IF(Q11="","",Q11*$C11)</f>
        <v>1.15</v>
      </c>
    </row>
    <row r="12" spans="1:18" ht="12.75">
      <c r="A12" s="40"/>
      <c r="B12" s="40" t="s">
        <v>135</v>
      </c>
      <c r="C12" s="42">
        <v>0</v>
      </c>
      <c r="D12" s="42" t="s">
        <v>34</v>
      </c>
      <c r="E12" s="43">
        <v>4.2</v>
      </c>
      <c r="F12" s="43">
        <f aca="true" t="shared" si="0" ref="F12:H35">IF(E12="","",E12*$C12)</f>
        <v>0</v>
      </c>
      <c r="G12" s="43">
        <f aca="true" t="shared" si="1" ref="G12:G35">IF(E12=0,"",IF(D12="nd",E12/2,E12))</f>
        <v>2.1</v>
      </c>
      <c r="H12" s="43">
        <f t="shared" si="0"/>
        <v>0</v>
      </c>
      <c r="I12" s="49"/>
      <c r="J12" s="33">
        <v>2.92</v>
      </c>
      <c r="K12" s="43">
        <f aca="true" t="shared" si="2" ref="K12:M35">IF(J12="","",J12*$C12)</f>
        <v>0</v>
      </c>
      <c r="L12" s="43">
        <f aca="true" t="shared" si="3" ref="L12:L35">IF(J12=0,"",IF(I12="nd",J12/2,J12))</f>
        <v>2.92</v>
      </c>
      <c r="M12" s="43">
        <f t="shared" si="2"/>
        <v>0</v>
      </c>
      <c r="N12" s="49" t="s">
        <v>34</v>
      </c>
      <c r="O12" s="54">
        <v>2.32</v>
      </c>
      <c r="P12" s="43">
        <f aca="true" t="shared" si="4" ref="P12:R35">IF(O12="","",O12*$C12)</f>
        <v>0</v>
      </c>
      <c r="Q12" s="43">
        <f aca="true" t="shared" si="5" ref="Q12:Q35">IF(O12=0,"",IF(N12="nd",O12/2,O12))</f>
        <v>1.16</v>
      </c>
      <c r="R12" s="43">
        <f t="shared" si="4"/>
        <v>0</v>
      </c>
    </row>
    <row r="13" spans="1:18" ht="12.75">
      <c r="A13" s="40"/>
      <c r="B13" s="40" t="s">
        <v>35</v>
      </c>
      <c r="C13" s="42">
        <v>0.5</v>
      </c>
      <c r="D13" s="42" t="s">
        <v>34</v>
      </c>
      <c r="E13" s="43">
        <v>6.4</v>
      </c>
      <c r="F13" s="43">
        <f t="shared" si="0"/>
        <v>3.2</v>
      </c>
      <c r="G13" s="43">
        <f t="shared" si="1"/>
        <v>3.2</v>
      </c>
      <c r="H13" s="43">
        <f t="shared" si="0"/>
        <v>1.6</v>
      </c>
      <c r="I13" s="49" t="s">
        <v>34</v>
      </c>
      <c r="J13" s="18">
        <v>6.4</v>
      </c>
      <c r="K13" s="43">
        <f t="shared" si="2"/>
        <v>3.2</v>
      </c>
      <c r="L13" s="43">
        <f t="shared" si="3"/>
        <v>3.2</v>
      </c>
      <c r="M13" s="43">
        <f t="shared" si="2"/>
        <v>1.6</v>
      </c>
      <c r="N13" s="49" t="s">
        <v>34</v>
      </c>
      <c r="O13" s="55">
        <v>4.7</v>
      </c>
      <c r="P13" s="43">
        <f t="shared" si="4"/>
        <v>2.35</v>
      </c>
      <c r="Q13" s="43">
        <f t="shared" si="5"/>
        <v>2.35</v>
      </c>
      <c r="R13" s="43">
        <f t="shared" si="4"/>
        <v>1.175</v>
      </c>
    </row>
    <row r="14" spans="1:18" ht="12.75">
      <c r="A14" s="40"/>
      <c r="B14" s="40" t="s">
        <v>136</v>
      </c>
      <c r="C14" s="42">
        <v>0</v>
      </c>
      <c r="D14" s="42"/>
      <c r="E14" s="43">
        <v>4.37</v>
      </c>
      <c r="F14" s="43">
        <f t="shared" si="0"/>
        <v>0</v>
      </c>
      <c r="G14" s="43">
        <f t="shared" si="1"/>
        <v>4.37</v>
      </c>
      <c r="H14" s="43">
        <f t="shared" si="0"/>
        <v>0</v>
      </c>
      <c r="I14" s="49" t="s">
        <v>34</v>
      </c>
      <c r="J14" s="18">
        <v>6.45</v>
      </c>
      <c r="K14" s="43">
        <f t="shared" si="2"/>
        <v>0</v>
      </c>
      <c r="L14" s="43">
        <f t="shared" si="3"/>
        <v>3.225</v>
      </c>
      <c r="M14" s="43">
        <f t="shared" si="2"/>
        <v>0</v>
      </c>
      <c r="N14" s="49" t="s">
        <v>34</v>
      </c>
      <c r="O14" s="55">
        <v>5.7</v>
      </c>
      <c r="P14" s="43">
        <f t="shared" si="4"/>
        <v>0</v>
      </c>
      <c r="Q14" s="43">
        <f t="shared" si="5"/>
        <v>2.85</v>
      </c>
      <c r="R14" s="43">
        <f t="shared" si="4"/>
        <v>0</v>
      </c>
    </row>
    <row r="15" spans="1:18" ht="12.75">
      <c r="A15" s="40"/>
      <c r="B15" s="40" t="s">
        <v>36</v>
      </c>
      <c r="C15" s="42">
        <v>0.1</v>
      </c>
      <c r="D15" s="42" t="s">
        <v>34</v>
      </c>
      <c r="E15" s="43">
        <v>10.1</v>
      </c>
      <c r="F15" s="43">
        <f t="shared" si="0"/>
        <v>1.01</v>
      </c>
      <c r="G15" s="43">
        <f t="shared" si="1"/>
        <v>5.05</v>
      </c>
      <c r="H15" s="43">
        <f t="shared" si="0"/>
        <v>0.505</v>
      </c>
      <c r="I15" s="49" t="s">
        <v>34</v>
      </c>
      <c r="J15" s="18">
        <v>7.2</v>
      </c>
      <c r="K15" s="43">
        <f t="shared" si="2"/>
        <v>0.7200000000000001</v>
      </c>
      <c r="L15" s="43">
        <f t="shared" si="3"/>
        <v>3.6</v>
      </c>
      <c r="M15" s="43">
        <f t="shared" si="2"/>
        <v>0.36000000000000004</v>
      </c>
      <c r="N15" s="49" t="s">
        <v>34</v>
      </c>
      <c r="O15" s="55">
        <v>7.4</v>
      </c>
      <c r="P15" s="43">
        <f t="shared" si="4"/>
        <v>0.7400000000000001</v>
      </c>
      <c r="Q15" s="43">
        <f t="shared" si="5"/>
        <v>3.7</v>
      </c>
      <c r="R15" s="43">
        <f t="shared" si="4"/>
        <v>0.37000000000000005</v>
      </c>
    </row>
    <row r="16" spans="1:18" ht="12.75">
      <c r="A16" s="40"/>
      <c r="B16" s="40" t="s">
        <v>37</v>
      </c>
      <c r="C16" s="42">
        <v>0.1</v>
      </c>
      <c r="D16" s="42" t="s">
        <v>34</v>
      </c>
      <c r="E16" s="43">
        <v>11</v>
      </c>
      <c r="F16" s="43">
        <f t="shared" si="0"/>
        <v>1.1</v>
      </c>
      <c r="G16" s="43">
        <f t="shared" si="1"/>
        <v>5.5</v>
      </c>
      <c r="H16" s="43">
        <f t="shared" si="0"/>
        <v>0.55</v>
      </c>
      <c r="I16" s="49" t="s">
        <v>34</v>
      </c>
      <c r="J16" s="18">
        <v>7.2</v>
      </c>
      <c r="K16" s="43">
        <f t="shared" si="2"/>
        <v>0.7200000000000001</v>
      </c>
      <c r="L16" s="43">
        <f t="shared" si="3"/>
        <v>3.6</v>
      </c>
      <c r="M16" s="43">
        <f t="shared" si="2"/>
        <v>0.36000000000000004</v>
      </c>
      <c r="N16" s="49" t="s">
        <v>34</v>
      </c>
      <c r="O16" s="55">
        <v>7.4</v>
      </c>
      <c r="P16" s="43">
        <f t="shared" si="4"/>
        <v>0.7400000000000001</v>
      </c>
      <c r="Q16" s="43">
        <f t="shared" si="5"/>
        <v>3.7</v>
      </c>
      <c r="R16" s="43">
        <f t="shared" si="4"/>
        <v>0.37000000000000005</v>
      </c>
    </row>
    <row r="17" spans="1:18" ht="12.75">
      <c r="A17" s="40"/>
      <c r="B17" s="40" t="s">
        <v>38</v>
      </c>
      <c r="C17" s="42">
        <v>0.1</v>
      </c>
      <c r="D17" s="42" t="s">
        <v>34</v>
      </c>
      <c r="E17" s="43">
        <v>9.9</v>
      </c>
      <c r="F17" s="43">
        <f t="shared" si="0"/>
        <v>0.9900000000000001</v>
      </c>
      <c r="G17" s="43">
        <f t="shared" si="1"/>
        <v>4.95</v>
      </c>
      <c r="H17" s="43">
        <f t="shared" si="0"/>
        <v>0.49500000000000005</v>
      </c>
      <c r="I17" s="49" t="s">
        <v>34</v>
      </c>
      <c r="J17" s="18">
        <v>6.7</v>
      </c>
      <c r="K17" s="43">
        <f t="shared" si="2"/>
        <v>0.67</v>
      </c>
      <c r="L17" s="43">
        <f t="shared" si="3"/>
        <v>3.35</v>
      </c>
      <c r="M17" s="43">
        <f t="shared" si="2"/>
        <v>0.335</v>
      </c>
      <c r="N17" s="49" t="s">
        <v>34</v>
      </c>
      <c r="O17" s="55">
        <v>6.9</v>
      </c>
      <c r="P17" s="43">
        <f t="shared" si="4"/>
        <v>0.6900000000000001</v>
      </c>
      <c r="Q17" s="43">
        <f t="shared" si="5"/>
        <v>3.45</v>
      </c>
      <c r="R17" s="43">
        <f t="shared" si="4"/>
        <v>0.34500000000000003</v>
      </c>
    </row>
    <row r="18" spans="1:18" ht="12.75">
      <c r="A18" s="40"/>
      <c r="B18" s="40" t="s">
        <v>137</v>
      </c>
      <c r="C18" s="42">
        <v>0</v>
      </c>
      <c r="D18" s="42" t="s">
        <v>34</v>
      </c>
      <c r="E18" s="43">
        <v>10.3</v>
      </c>
      <c r="F18" s="43">
        <f t="shared" si="0"/>
        <v>0</v>
      </c>
      <c r="G18" s="43">
        <f t="shared" si="1"/>
        <v>5.15</v>
      </c>
      <c r="H18" s="43">
        <f t="shared" si="0"/>
        <v>0</v>
      </c>
      <c r="I18" s="49"/>
      <c r="J18" s="18">
        <v>2.95</v>
      </c>
      <c r="K18" s="43">
        <f t="shared" si="2"/>
        <v>0</v>
      </c>
      <c r="L18" s="43">
        <f t="shared" si="3"/>
        <v>2.95</v>
      </c>
      <c r="M18" s="43">
        <f t="shared" si="2"/>
        <v>0</v>
      </c>
      <c r="N18" s="49" t="s">
        <v>34</v>
      </c>
      <c r="O18" s="55">
        <v>7.2</v>
      </c>
      <c r="P18" s="43">
        <f t="shared" si="4"/>
        <v>0</v>
      </c>
      <c r="Q18" s="43">
        <f t="shared" si="5"/>
        <v>3.6</v>
      </c>
      <c r="R18" s="43">
        <f t="shared" si="4"/>
        <v>0</v>
      </c>
    </row>
    <row r="19" spans="1:18" ht="12.75">
      <c r="A19" s="40"/>
      <c r="B19" s="40" t="s">
        <v>39</v>
      </c>
      <c r="C19" s="42">
        <v>0.01</v>
      </c>
      <c r="D19" s="42"/>
      <c r="E19" s="43">
        <v>45.4</v>
      </c>
      <c r="F19" s="43">
        <f t="shared" si="0"/>
        <v>0.454</v>
      </c>
      <c r="G19" s="43">
        <f t="shared" si="1"/>
        <v>45.4</v>
      </c>
      <c r="H19" s="43">
        <f t="shared" si="0"/>
        <v>0.454</v>
      </c>
      <c r="I19" s="49"/>
      <c r="J19" s="18">
        <v>42.5</v>
      </c>
      <c r="K19" s="43">
        <f t="shared" si="2"/>
        <v>0.425</v>
      </c>
      <c r="L19" s="43">
        <f t="shared" si="3"/>
        <v>42.5</v>
      </c>
      <c r="M19" s="43">
        <f t="shared" si="2"/>
        <v>0.425</v>
      </c>
      <c r="N19" s="49"/>
      <c r="O19" s="55">
        <v>61</v>
      </c>
      <c r="P19" s="43">
        <f t="shared" si="4"/>
        <v>0.61</v>
      </c>
      <c r="Q19" s="43">
        <f t="shared" si="5"/>
        <v>61</v>
      </c>
      <c r="R19" s="43">
        <f t="shared" si="4"/>
        <v>0.61</v>
      </c>
    </row>
    <row r="20" spans="1:18" ht="12.75">
      <c r="A20" s="40"/>
      <c r="B20" s="40" t="s">
        <v>138</v>
      </c>
      <c r="C20" s="42">
        <v>0</v>
      </c>
      <c r="D20" s="42"/>
      <c r="E20" s="43">
        <v>71.3</v>
      </c>
      <c r="F20" s="43">
        <f t="shared" si="0"/>
        <v>0</v>
      </c>
      <c r="G20" s="43">
        <f t="shared" si="1"/>
        <v>71.3</v>
      </c>
      <c r="H20" s="43">
        <f t="shared" si="0"/>
        <v>0</v>
      </c>
      <c r="I20" s="49"/>
      <c r="J20" s="18">
        <v>67.5</v>
      </c>
      <c r="K20" s="43">
        <f t="shared" si="2"/>
        <v>0</v>
      </c>
      <c r="L20" s="43">
        <f t="shared" si="3"/>
        <v>67.5</v>
      </c>
      <c r="M20" s="43">
        <f t="shared" si="2"/>
        <v>0</v>
      </c>
      <c r="N20" s="49"/>
      <c r="O20" s="55">
        <v>96.1</v>
      </c>
      <c r="P20" s="43">
        <f t="shared" si="4"/>
        <v>0</v>
      </c>
      <c r="Q20" s="43">
        <f t="shared" si="5"/>
        <v>96.1</v>
      </c>
      <c r="R20" s="43">
        <f t="shared" si="4"/>
        <v>0</v>
      </c>
    </row>
    <row r="21" spans="1:18" ht="12.75">
      <c r="A21" s="40"/>
      <c r="B21" s="40" t="s">
        <v>40</v>
      </c>
      <c r="C21" s="42">
        <v>0.001</v>
      </c>
      <c r="D21" s="42"/>
      <c r="E21" s="43">
        <v>375</v>
      </c>
      <c r="F21" s="43">
        <f t="shared" si="0"/>
        <v>0.375</v>
      </c>
      <c r="G21" s="43">
        <f t="shared" si="1"/>
        <v>375</v>
      </c>
      <c r="H21" s="43">
        <f t="shared" si="0"/>
        <v>0.375</v>
      </c>
      <c r="I21" s="49"/>
      <c r="J21" s="18">
        <v>398</v>
      </c>
      <c r="K21" s="43">
        <f t="shared" si="2"/>
        <v>0.398</v>
      </c>
      <c r="L21" s="43">
        <f t="shared" si="3"/>
        <v>398</v>
      </c>
      <c r="M21" s="43">
        <f t="shared" si="2"/>
        <v>0.398</v>
      </c>
      <c r="N21" s="49"/>
      <c r="O21" s="55">
        <v>584</v>
      </c>
      <c r="P21" s="43">
        <f t="shared" si="4"/>
        <v>0.584</v>
      </c>
      <c r="Q21" s="43">
        <f t="shared" si="5"/>
        <v>584</v>
      </c>
      <c r="R21" s="43">
        <f t="shared" si="4"/>
        <v>0.584</v>
      </c>
    </row>
    <row r="22" spans="1:18" ht="12.75">
      <c r="A22" s="40"/>
      <c r="B22" s="40" t="s">
        <v>41</v>
      </c>
      <c r="C22" s="42">
        <v>0.1</v>
      </c>
      <c r="D22" s="42"/>
      <c r="E22" s="43">
        <v>65</v>
      </c>
      <c r="F22" s="43">
        <f t="shared" si="0"/>
        <v>6.5</v>
      </c>
      <c r="G22" s="43">
        <f t="shared" si="1"/>
        <v>65</v>
      </c>
      <c r="H22" s="43">
        <f t="shared" si="0"/>
        <v>6.5</v>
      </c>
      <c r="I22" s="49"/>
      <c r="J22" s="18">
        <v>77.3</v>
      </c>
      <c r="K22" s="43">
        <f t="shared" si="2"/>
        <v>7.73</v>
      </c>
      <c r="L22" s="43">
        <f t="shared" si="3"/>
        <v>77.3</v>
      </c>
      <c r="M22" s="43">
        <f t="shared" si="2"/>
        <v>7.73</v>
      </c>
      <c r="N22" s="49"/>
      <c r="O22" s="55">
        <v>75.3</v>
      </c>
      <c r="P22" s="43">
        <f t="shared" si="4"/>
        <v>7.53</v>
      </c>
      <c r="Q22" s="43">
        <f t="shared" si="5"/>
        <v>75.3</v>
      </c>
      <c r="R22" s="43">
        <f t="shared" si="4"/>
        <v>7.53</v>
      </c>
    </row>
    <row r="23" spans="1:18" ht="12.75">
      <c r="A23" s="40"/>
      <c r="B23" s="40" t="s">
        <v>139</v>
      </c>
      <c r="C23" s="42">
        <v>0</v>
      </c>
      <c r="D23" s="42"/>
      <c r="E23" s="43">
        <v>295</v>
      </c>
      <c r="F23" s="43">
        <f t="shared" si="0"/>
        <v>0</v>
      </c>
      <c r="G23" s="43">
        <f t="shared" si="1"/>
        <v>295</v>
      </c>
      <c r="H23" s="43">
        <f t="shared" si="0"/>
        <v>0</v>
      </c>
      <c r="I23" s="49"/>
      <c r="J23" s="18">
        <v>397</v>
      </c>
      <c r="K23" s="43">
        <f t="shared" si="2"/>
        <v>0</v>
      </c>
      <c r="L23" s="43">
        <f t="shared" si="3"/>
        <v>397</v>
      </c>
      <c r="M23" s="43">
        <f t="shared" si="2"/>
        <v>0</v>
      </c>
      <c r="N23" s="49"/>
      <c r="O23" s="55">
        <v>381</v>
      </c>
      <c r="P23" s="43">
        <f t="shared" si="4"/>
        <v>0</v>
      </c>
      <c r="Q23" s="43">
        <f t="shared" si="5"/>
        <v>381</v>
      </c>
      <c r="R23" s="43">
        <f t="shared" si="4"/>
        <v>0</v>
      </c>
    </row>
    <row r="24" spans="1:18" ht="12.75">
      <c r="A24" s="40"/>
      <c r="B24" s="40" t="s">
        <v>42</v>
      </c>
      <c r="C24" s="42">
        <v>0.05</v>
      </c>
      <c r="D24" s="42"/>
      <c r="E24" s="43">
        <v>37.2</v>
      </c>
      <c r="F24" s="43">
        <f t="shared" si="0"/>
        <v>1.8600000000000003</v>
      </c>
      <c r="G24" s="43">
        <f t="shared" si="1"/>
        <v>37.2</v>
      </c>
      <c r="H24" s="43">
        <f t="shared" si="0"/>
        <v>1.8600000000000003</v>
      </c>
      <c r="I24" s="49"/>
      <c r="J24" s="18">
        <v>46.7</v>
      </c>
      <c r="K24" s="43">
        <f t="shared" si="2"/>
        <v>2.3350000000000004</v>
      </c>
      <c r="L24" s="43">
        <f t="shared" si="3"/>
        <v>46.7</v>
      </c>
      <c r="M24" s="43">
        <f t="shared" si="2"/>
        <v>2.3350000000000004</v>
      </c>
      <c r="N24" s="49"/>
      <c r="O24" s="55">
        <v>52.8</v>
      </c>
      <c r="P24" s="43">
        <f t="shared" si="4"/>
        <v>2.64</v>
      </c>
      <c r="Q24" s="43">
        <f t="shared" si="5"/>
        <v>52.8</v>
      </c>
      <c r="R24" s="43">
        <f t="shared" si="4"/>
        <v>2.64</v>
      </c>
    </row>
    <row r="25" spans="1:18" ht="12.75">
      <c r="A25" s="40"/>
      <c r="B25" s="40" t="s">
        <v>43</v>
      </c>
      <c r="C25" s="42">
        <v>0.5</v>
      </c>
      <c r="D25" s="42"/>
      <c r="E25" s="43">
        <v>19.8</v>
      </c>
      <c r="F25" s="43">
        <f t="shared" si="0"/>
        <v>9.9</v>
      </c>
      <c r="G25" s="43">
        <f t="shared" si="1"/>
        <v>19.8</v>
      </c>
      <c r="H25" s="43">
        <f t="shared" si="0"/>
        <v>9.9</v>
      </c>
      <c r="I25" s="49"/>
      <c r="J25" s="18">
        <v>28</v>
      </c>
      <c r="K25" s="43">
        <f t="shared" si="2"/>
        <v>14</v>
      </c>
      <c r="L25" s="43">
        <f t="shared" si="3"/>
        <v>28</v>
      </c>
      <c r="M25" s="43">
        <f t="shared" si="2"/>
        <v>14</v>
      </c>
      <c r="N25" s="49"/>
      <c r="O25" s="55">
        <v>35.3</v>
      </c>
      <c r="P25" s="43">
        <f t="shared" si="4"/>
        <v>17.65</v>
      </c>
      <c r="Q25" s="43">
        <f t="shared" si="5"/>
        <v>35.3</v>
      </c>
      <c r="R25" s="43">
        <f t="shared" si="4"/>
        <v>17.65</v>
      </c>
    </row>
    <row r="26" spans="1:18" ht="12.75">
      <c r="A26" s="40"/>
      <c r="B26" s="40" t="s">
        <v>140</v>
      </c>
      <c r="C26" s="42">
        <v>0</v>
      </c>
      <c r="D26" s="42"/>
      <c r="E26" s="43">
        <v>253</v>
      </c>
      <c r="F26" s="43">
        <f t="shared" si="0"/>
        <v>0</v>
      </c>
      <c r="G26" s="43">
        <f t="shared" si="1"/>
        <v>253</v>
      </c>
      <c r="H26" s="43">
        <f t="shared" si="0"/>
        <v>0</v>
      </c>
      <c r="I26" s="49"/>
      <c r="J26" s="18">
        <v>316</v>
      </c>
      <c r="K26" s="43">
        <f t="shared" si="2"/>
        <v>0</v>
      </c>
      <c r="L26" s="43">
        <f t="shared" si="3"/>
        <v>316</v>
      </c>
      <c r="M26" s="43">
        <f t="shared" si="2"/>
        <v>0</v>
      </c>
      <c r="N26" s="49"/>
      <c r="O26" s="55">
        <v>369</v>
      </c>
      <c r="P26" s="43">
        <f t="shared" si="4"/>
        <v>0</v>
      </c>
      <c r="Q26" s="43">
        <f t="shared" si="5"/>
        <v>369</v>
      </c>
      <c r="R26" s="43">
        <f t="shared" si="4"/>
        <v>0</v>
      </c>
    </row>
    <row r="27" spans="1:18" ht="12.75">
      <c r="A27" s="40"/>
      <c r="B27" s="40" t="s">
        <v>44</v>
      </c>
      <c r="C27" s="42">
        <v>0.1</v>
      </c>
      <c r="D27" s="42"/>
      <c r="E27" s="43">
        <v>231</v>
      </c>
      <c r="F27" s="43">
        <f t="shared" si="0"/>
        <v>23.1</v>
      </c>
      <c r="G27" s="43">
        <f t="shared" si="1"/>
        <v>231</v>
      </c>
      <c r="H27" s="43">
        <f t="shared" si="0"/>
        <v>23.1</v>
      </c>
      <c r="I27" s="49"/>
      <c r="J27" s="18">
        <v>264</v>
      </c>
      <c r="K27" s="43">
        <f t="shared" si="2"/>
        <v>26.400000000000002</v>
      </c>
      <c r="L27" s="43">
        <f t="shared" si="3"/>
        <v>264</v>
      </c>
      <c r="M27" s="43">
        <f t="shared" si="2"/>
        <v>26.400000000000002</v>
      </c>
      <c r="N27" s="49"/>
      <c r="O27" s="55">
        <v>346</v>
      </c>
      <c r="P27" s="43">
        <f t="shared" si="4"/>
        <v>34.6</v>
      </c>
      <c r="Q27" s="43">
        <f t="shared" si="5"/>
        <v>346</v>
      </c>
      <c r="R27" s="43">
        <f t="shared" si="4"/>
        <v>34.6</v>
      </c>
    </row>
    <row r="28" spans="1:18" ht="12.75">
      <c r="A28" s="40"/>
      <c r="B28" s="40" t="s">
        <v>45</v>
      </c>
      <c r="C28" s="42">
        <v>0.1</v>
      </c>
      <c r="D28" s="42"/>
      <c r="E28" s="43">
        <v>70.5</v>
      </c>
      <c r="F28" s="43">
        <f t="shared" si="0"/>
        <v>7.050000000000001</v>
      </c>
      <c r="G28" s="43">
        <f t="shared" si="1"/>
        <v>70.5</v>
      </c>
      <c r="H28" s="43">
        <f t="shared" si="0"/>
        <v>7.050000000000001</v>
      </c>
      <c r="I28" s="49"/>
      <c r="J28" s="18">
        <v>74.4</v>
      </c>
      <c r="K28" s="43">
        <f t="shared" si="2"/>
        <v>7.440000000000001</v>
      </c>
      <c r="L28" s="43">
        <f t="shared" si="3"/>
        <v>74.4</v>
      </c>
      <c r="M28" s="43">
        <f t="shared" si="2"/>
        <v>7.440000000000001</v>
      </c>
      <c r="N28" s="49"/>
      <c r="O28" s="55">
        <v>102</v>
      </c>
      <c r="P28" s="43">
        <f t="shared" si="4"/>
        <v>10.200000000000001</v>
      </c>
      <c r="Q28" s="43">
        <f t="shared" si="5"/>
        <v>102</v>
      </c>
      <c r="R28" s="43">
        <f t="shared" si="4"/>
        <v>10.200000000000001</v>
      </c>
    </row>
    <row r="29" spans="1:18" ht="12.75">
      <c r="A29" s="40"/>
      <c r="B29" s="40" t="s">
        <v>46</v>
      </c>
      <c r="C29" s="42">
        <v>0.1</v>
      </c>
      <c r="D29" s="42"/>
      <c r="E29" s="43">
        <v>29.4</v>
      </c>
      <c r="F29" s="43">
        <f t="shared" si="0"/>
        <v>2.94</v>
      </c>
      <c r="G29" s="43">
        <f t="shared" si="1"/>
        <v>29.4</v>
      </c>
      <c r="H29" s="43">
        <f t="shared" si="0"/>
        <v>2.94</v>
      </c>
      <c r="I29" s="49"/>
      <c r="J29" s="18">
        <v>27.4</v>
      </c>
      <c r="K29" s="43">
        <f t="shared" si="2"/>
        <v>2.74</v>
      </c>
      <c r="L29" s="43">
        <f t="shared" si="3"/>
        <v>27.4</v>
      </c>
      <c r="M29" s="43">
        <f t="shared" si="2"/>
        <v>2.74</v>
      </c>
      <c r="N29" s="49"/>
      <c r="O29" s="55">
        <v>45.8</v>
      </c>
      <c r="P29" s="43">
        <f t="shared" si="4"/>
        <v>4.58</v>
      </c>
      <c r="Q29" s="43">
        <f t="shared" si="5"/>
        <v>45.8</v>
      </c>
      <c r="R29" s="43">
        <f t="shared" si="4"/>
        <v>4.58</v>
      </c>
    </row>
    <row r="30" spans="1:18" ht="12.75">
      <c r="A30" s="40"/>
      <c r="B30" s="40" t="s">
        <v>47</v>
      </c>
      <c r="C30" s="42">
        <v>0.1</v>
      </c>
      <c r="D30" s="42"/>
      <c r="E30" s="43">
        <v>25.6</v>
      </c>
      <c r="F30" s="43">
        <f t="shared" si="0"/>
        <v>2.5600000000000005</v>
      </c>
      <c r="G30" s="43">
        <f t="shared" si="1"/>
        <v>25.6</v>
      </c>
      <c r="H30" s="43">
        <f t="shared" si="0"/>
        <v>2.5600000000000005</v>
      </c>
      <c r="I30" s="49"/>
      <c r="J30" s="18">
        <v>30.5</v>
      </c>
      <c r="K30" s="43">
        <f t="shared" si="2"/>
        <v>3.0500000000000003</v>
      </c>
      <c r="L30" s="43">
        <f t="shared" si="3"/>
        <v>30.5</v>
      </c>
      <c r="M30" s="43">
        <f t="shared" si="2"/>
        <v>3.0500000000000003</v>
      </c>
      <c r="N30" s="49"/>
      <c r="O30" s="55">
        <v>45.3</v>
      </c>
      <c r="P30" s="43">
        <f t="shared" si="4"/>
        <v>4.53</v>
      </c>
      <c r="Q30" s="43">
        <f t="shared" si="5"/>
        <v>45.3</v>
      </c>
      <c r="R30" s="43">
        <f t="shared" si="4"/>
        <v>4.53</v>
      </c>
    </row>
    <row r="31" spans="1:18" ht="12.75">
      <c r="A31" s="40"/>
      <c r="B31" s="40" t="s">
        <v>141</v>
      </c>
      <c r="C31" s="42">
        <v>0</v>
      </c>
      <c r="D31" s="42"/>
      <c r="E31" s="43">
        <v>668</v>
      </c>
      <c r="F31" s="43">
        <f t="shared" si="0"/>
        <v>0</v>
      </c>
      <c r="G31" s="43">
        <f t="shared" si="1"/>
        <v>668</v>
      </c>
      <c r="H31" s="43">
        <f t="shared" si="0"/>
        <v>0</v>
      </c>
      <c r="I31" s="49"/>
      <c r="J31" s="18">
        <v>760</v>
      </c>
      <c r="K31" s="43">
        <f t="shared" si="2"/>
        <v>0</v>
      </c>
      <c r="L31" s="43">
        <f t="shared" si="3"/>
        <v>760</v>
      </c>
      <c r="M31" s="43">
        <f t="shared" si="2"/>
        <v>0</v>
      </c>
      <c r="N31" s="49"/>
      <c r="O31" s="55">
        <v>1063</v>
      </c>
      <c r="P31" s="43">
        <f t="shared" si="4"/>
        <v>0</v>
      </c>
      <c r="Q31" s="43">
        <f t="shared" si="5"/>
        <v>1063</v>
      </c>
      <c r="R31" s="43">
        <f t="shared" si="4"/>
        <v>0</v>
      </c>
    </row>
    <row r="32" spans="1:18" ht="12.75">
      <c r="A32" s="40"/>
      <c r="B32" s="40" t="s">
        <v>48</v>
      </c>
      <c r="C32" s="42">
        <v>0.01</v>
      </c>
      <c r="D32" s="42"/>
      <c r="E32" s="43">
        <v>1117</v>
      </c>
      <c r="F32" s="43">
        <f t="shared" si="0"/>
        <v>11.17</v>
      </c>
      <c r="G32" s="43">
        <f t="shared" si="1"/>
        <v>1117</v>
      </c>
      <c r="H32" s="43">
        <f t="shared" si="0"/>
        <v>11.17</v>
      </c>
      <c r="I32" s="49"/>
      <c r="J32" s="18">
        <v>1046</v>
      </c>
      <c r="K32" s="43">
        <f t="shared" si="2"/>
        <v>10.46</v>
      </c>
      <c r="L32" s="43">
        <f t="shared" si="3"/>
        <v>1046</v>
      </c>
      <c r="M32" s="43">
        <f t="shared" si="2"/>
        <v>10.46</v>
      </c>
      <c r="N32" s="49"/>
      <c r="O32" s="55">
        <v>1716</v>
      </c>
      <c r="P32" s="43">
        <f t="shared" si="4"/>
        <v>17.16</v>
      </c>
      <c r="Q32" s="43">
        <f t="shared" si="5"/>
        <v>1716</v>
      </c>
      <c r="R32" s="43">
        <f t="shared" si="4"/>
        <v>17.16</v>
      </c>
    </row>
    <row r="33" spans="1:18" ht="12.75">
      <c r="A33" s="40"/>
      <c r="B33" s="40" t="s">
        <v>49</v>
      </c>
      <c r="C33" s="42">
        <v>0.01</v>
      </c>
      <c r="D33" s="42"/>
      <c r="E33" s="43">
        <v>254</v>
      </c>
      <c r="F33" s="43">
        <f t="shared" si="0"/>
        <v>2.54</v>
      </c>
      <c r="G33" s="43">
        <f t="shared" si="1"/>
        <v>254</v>
      </c>
      <c r="H33" s="43">
        <f t="shared" si="0"/>
        <v>2.54</v>
      </c>
      <c r="I33" s="49"/>
      <c r="J33" s="18">
        <v>298</v>
      </c>
      <c r="K33" s="43">
        <f t="shared" si="2"/>
        <v>2.98</v>
      </c>
      <c r="L33" s="43">
        <f t="shared" si="3"/>
        <v>298</v>
      </c>
      <c r="M33" s="43">
        <f t="shared" si="2"/>
        <v>2.98</v>
      </c>
      <c r="N33" s="49"/>
      <c r="O33" s="55">
        <v>432</v>
      </c>
      <c r="P33" s="43">
        <f t="shared" si="4"/>
        <v>4.32</v>
      </c>
      <c r="Q33" s="43">
        <f t="shared" si="5"/>
        <v>432</v>
      </c>
      <c r="R33" s="43">
        <f t="shared" si="4"/>
        <v>4.32</v>
      </c>
    </row>
    <row r="34" spans="1:18" ht="12.75">
      <c r="A34" s="40"/>
      <c r="B34" s="40" t="s">
        <v>142</v>
      </c>
      <c r="C34" s="42">
        <v>0</v>
      </c>
      <c r="D34" s="42"/>
      <c r="E34" s="43">
        <v>1879</v>
      </c>
      <c r="F34" s="43">
        <f t="shared" si="0"/>
        <v>0</v>
      </c>
      <c r="G34" s="43">
        <f t="shared" si="1"/>
        <v>1879</v>
      </c>
      <c r="H34" s="43">
        <f t="shared" si="0"/>
        <v>0</v>
      </c>
      <c r="I34" s="49"/>
      <c r="J34" s="18">
        <v>1991</v>
      </c>
      <c r="K34" s="43">
        <f t="shared" si="2"/>
        <v>0</v>
      </c>
      <c r="L34" s="43">
        <f t="shared" si="3"/>
        <v>1991</v>
      </c>
      <c r="M34" s="43">
        <f t="shared" si="2"/>
        <v>0</v>
      </c>
      <c r="N34" s="49"/>
      <c r="O34" s="55">
        <v>3130</v>
      </c>
      <c r="P34" s="43">
        <f t="shared" si="4"/>
        <v>0</v>
      </c>
      <c r="Q34" s="43">
        <f t="shared" si="5"/>
        <v>3130</v>
      </c>
      <c r="R34" s="43">
        <f t="shared" si="4"/>
        <v>0</v>
      </c>
    </row>
    <row r="35" spans="1:18" ht="12.75">
      <c r="A35" s="40"/>
      <c r="B35" s="40" t="s">
        <v>50</v>
      </c>
      <c r="C35" s="42">
        <v>0.001</v>
      </c>
      <c r="D35" s="42"/>
      <c r="E35" s="43">
        <v>13060</v>
      </c>
      <c r="F35" s="43">
        <f t="shared" si="0"/>
        <v>13.06</v>
      </c>
      <c r="G35" s="43">
        <f t="shared" si="1"/>
        <v>13060</v>
      </c>
      <c r="H35" s="43">
        <f t="shared" si="0"/>
        <v>13.06</v>
      </c>
      <c r="I35" s="49"/>
      <c r="J35" s="18">
        <v>13970</v>
      </c>
      <c r="K35" s="43">
        <f t="shared" si="2"/>
        <v>13.97</v>
      </c>
      <c r="L35" s="43">
        <f t="shared" si="3"/>
        <v>13970</v>
      </c>
      <c r="M35" s="43">
        <f t="shared" si="2"/>
        <v>13.97</v>
      </c>
      <c r="N35" s="49"/>
      <c r="O35" s="55">
        <v>21240</v>
      </c>
      <c r="P35" s="43">
        <f t="shared" si="4"/>
        <v>21.240000000000002</v>
      </c>
      <c r="Q35" s="43">
        <f t="shared" si="5"/>
        <v>21240</v>
      </c>
      <c r="R35" s="43">
        <f t="shared" si="4"/>
        <v>21.240000000000002</v>
      </c>
    </row>
    <row r="36" spans="1:18" ht="12.75">
      <c r="A36" s="40"/>
      <c r="B36" s="40"/>
      <c r="C36" s="40"/>
      <c r="D36" s="40"/>
      <c r="E36" s="43"/>
      <c r="F36" s="43"/>
      <c r="G36" s="43"/>
      <c r="H36" s="43"/>
      <c r="I36" s="46"/>
      <c r="J36" s="18"/>
      <c r="K36" s="43"/>
      <c r="L36" s="43"/>
      <c r="M36" s="43"/>
      <c r="N36" s="46"/>
      <c r="O36" s="18"/>
      <c r="P36" s="48"/>
      <c r="Q36" s="46"/>
      <c r="R36" s="48"/>
    </row>
    <row r="37" spans="1:18" ht="12.75">
      <c r="A37" s="40"/>
      <c r="B37" s="40" t="s">
        <v>51</v>
      </c>
      <c r="C37" s="40"/>
      <c r="D37" s="40"/>
      <c r="F37" s="46">
        <v>120.864</v>
      </c>
      <c r="G37" s="46">
        <v>120.864</v>
      </c>
      <c r="H37" s="46">
        <v>120.864</v>
      </c>
      <c r="I37" s="46"/>
      <c r="J37" s="46"/>
      <c r="K37" s="46">
        <v>120.678</v>
      </c>
      <c r="L37" s="46">
        <v>120.678</v>
      </c>
      <c r="M37" s="46">
        <v>120.678</v>
      </c>
      <c r="N37" s="46"/>
      <c r="O37" s="46"/>
      <c r="P37" s="46">
        <v>120.578</v>
      </c>
      <c r="Q37" s="46">
        <v>120.578</v>
      </c>
      <c r="R37" s="46">
        <v>120.578</v>
      </c>
    </row>
    <row r="38" spans="1:18" ht="12.75">
      <c r="A38" s="40"/>
      <c r="B38" s="40" t="s">
        <v>80</v>
      </c>
      <c r="C38" s="40"/>
      <c r="D38" s="40"/>
      <c r="F38" s="46">
        <v>8.35</v>
      </c>
      <c r="G38" s="46">
        <v>8.35</v>
      </c>
      <c r="H38" s="46">
        <v>8.35</v>
      </c>
      <c r="I38" s="46"/>
      <c r="J38" s="46"/>
      <c r="K38" s="43">
        <v>8.38</v>
      </c>
      <c r="L38" s="43">
        <v>8.38</v>
      </c>
      <c r="M38" s="43">
        <v>8.38</v>
      </c>
      <c r="N38" s="46"/>
      <c r="O38" s="46"/>
      <c r="P38" s="46">
        <v>8.39</v>
      </c>
      <c r="Q38" s="46">
        <v>8.39</v>
      </c>
      <c r="R38" s="46">
        <v>8.39</v>
      </c>
    </row>
    <row r="39" spans="1:18" ht="12.75">
      <c r="A39" s="40"/>
      <c r="B39" s="40"/>
      <c r="C39" s="40"/>
      <c r="D39" s="40"/>
      <c r="E39" s="43"/>
      <c r="F39" s="47"/>
      <c r="G39" s="43"/>
      <c r="H39" s="47"/>
      <c r="I39" s="18"/>
      <c r="J39" s="46"/>
      <c r="K39" s="47"/>
      <c r="L39" s="43"/>
      <c r="M39" s="47"/>
      <c r="N39" s="46"/>
      <c r="O39" s="46"/>
      <c r="P39" s="46"/>
      <c r="Q39" s="46"/>
      <c r="R39" s="46"/>
    </row>
    <row r="40" spans="1:18" ht="12.75">
      <c r="A40" s="40"/>
      <c r="B40" s="40" t="s">
        <v>67</v>
      </c>
      <c r="C40" s="49"/>
      <c r="D40" s="49"/>
      <c r="E40" s="43"/>
      <c r="F40" s="49">
        <f>SUM(F11:F35)</f>
        <v>92.00900000000001</v>
      </c>
      <c r="G40" s="43">
        <f>SUM(G35,G34,G31,G26,G23,G21,G20,G18,G14,G12)</f>
        <v>16612.92</v>
      </c>
      <c r="H40" s="49">
        <f>SUM(H11:H35)</f>
        <v>86.75900000000001</v>
      </c>
      <c r="I40" s="49"/>
      <c r="J40" s="43"/>
      <c r="K40" s="49">
        <f>SUM(K11:K35)</f>
        <v>99.63799999999999</v>
      </c>
      <c r="L40" s="43">
        <f>SUM(L35,L34,L31,L26,L23,L21,L20,L18,L14,L12)</f>
        <v>17908.594999999998</v>
      </c>
      <c r="M40" s="49">
        <f>SUM(M11:M35)</f>
        <v>95.783</v>
      </c>
      <c r="N40" s="49"/>
      <c r="O40" s="46"/>
      <c r="P40" s="43">
        <f>SUM(P11:P35)</f>
        <v>132.464</v>
      </c>
      <c r="Q40" s="43">
        <f>SUM(Q35,Q34,Q31,Q26,Q23,Q21,Q20,Q18,Q14,Q12)</f>
        <v>26870.709999999995</v>
      </c>
      <c r="R40" s="43">
        <f>SUM(R11:R35)</f>
        <v>129.054</v>
      </c>
    </row>
    <row r="41" spans="1:18" ht="12.75">
      <c r="A41" s="40"/>
      <c r="B41" s="40" t="s">
        <v>52</v>
      </c>
      <c r="C41" s="49"/>
      <c r="D41" s="43">
        <f>(F41-H41)*2/F41*100</f>
        <v>11.411927094088597</v>
      </c>
      <c r="E41" s="43"/>
      <c r="F41" s="49">
        <f>F40/F37/0.0283*(21-7)/(21-F38)/1000</f>
        <v>0.029770383010431528</v>
      </c>
      <c r="G41" s="46">
        <f>(G40/G37/0.0283*(21-7)/(21-G38))/1000</f>
        <v>5.375267542541034</v>
      </c>
      <c r="H41" s="49">
        <f>H40/H37/0.0283*(21-7)/(21-H38)/1000</f>
        <v>0.028071695808040836</v>
      </c>
      <c r="I41" s="43">
        <f>(K41-M41)*2/K41*100</f>
        <v>7.738011601999212</v>
      </c>
      <c r="J41" s="46"/>
      <c r="K41" s="49">
        <f>K40/K37/0.0283*(21-7)/(21-K38)/1000</f>
        <v>0.0323652631728897</v>
      </c>
      <c r="L41" s="46">
        <f>(L40/L37/0.0283*(21-7)/(21-L38))/1000</f>
        <v>5.817222246850565</v>
      </c>
      <c r="M41" s="49">
        <f>M40/M37/0.0283*(21-7)/(21-M38)/1000</f>
        <v>0.03111304926322181</v>
      </c>
      <c r="N41" s="43">
        <f>(P41-R41)*2/P41*100</f>
        <v>5.14856866771343</v>
      </c>
      <c r="O41" s="46"/>
      <c r="P41" s="49">
        <f>P40/P37/0.0283*(21-7)/(21-P38)/1000</f>
        <v>0.04309791921813241</v>
      </c>
      <c r="Q41" s="46">
        <f>(Q40/Q37/0.0283*(21-7)/(21-Q38))/1000</f>
        <v>8.742539021272666</v>
      </c>
      <c r="R41" s="49">
        <f>R40/R37/0.0283*(21-7)/(21-R38)/1000</f>
        <v>0.04198845623548181</v>
      </c>
    </row>
    <row r="42" spans="1:18" ht="12.75">
      <c r="A42" s="40"/>
      <c r="B42" s="40"/>
      <c r="C42" s="40"/>
      <c r="D42" s="40"/>
      <c r="E42" s="43"/>
      <c r="F42" s="43"/>
      <c r="G42" s="43"/>
      <c r="H42" s="43"/>
      <c r="I42" s="45"/>
      <c r="J42" s="45"/>
      <c r="K42" s="45"/>
      <c r="L42" s="45"/>
      <c r="M42" s="45"/>
      <c r="N42" s="45"/>
      <c r="O42" s="45"/>
      <c r="P42" s="48"/>
      <c r="Q42" s="45"/>
      <c r="R42" s="48"/>
    </row>
    <row r="43" spans="1:18" ht="12.75">
      <c r="A43" s="46"/>
      <c r="B43" s="40" t="s">
        <v>81</v>
      </c>
      <c r="C43" s="45">
        <f>AVERAGE(H41,M41,R41)</f>
        <v>0.03372440043558148</v>
      </c>
      <c r="D43" s="46"/>
      <c r="E43" s="43"/>
      <c r="F43" s="43"/>
      <c r="G43" s="43"/>
      <c r="H43" s="43"/>
      <c r="I43" s="46"/>
      <c r="J43" s="46"/>
      <c r="K43" s="46"/>
      <c r="L43" s="46"/>
      <c r="M43" s="46"/>
      <c r="N43" s="46"/>
      <c r="O43" s="46"/>
      <c r="P43" s="48"/>
      <c r="Q43" s="46"/>
      <c r="R43" s="48"/>
    </row>
    <row r="44" spans="1:18" ht="12.75">
      <c r="A44" s="40"/>
      <c r="B44" s="40" t="s">
        <v>82</v>
      </c>
      <c r="C44" s="46">
        <f>AVERAGE(G41,L41,Q41)</f>
        <v>6.645009603554755</v>
      </c>
      <c r="D44" s="40"/>
      <c r="E44" s="43"/>
      <c r="F44" s="43"/>
      <c r="G44" s="43"/>
      <c r="H44" s="43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1"/>
      <c r="B85" s="1"/>
      <c r="C85" s="1"/>
      <c r="D85" s="1"/>
      <c r="E85" s="3"/>
      <c r="G85" s="3"/>
      <c r="J85" s="6"/>
      <c r="K85" s="5"/>
      <c r="L85" s="3"/>
      <c r="M85" s="5"/>
      <c r="N85" s="6"/>
      <c r="O85" s="6"/>
      <c r="P85" s="6"/>
      <c r="Q85" s="6"/>
      <c r="R85" s="6"/>
    </row>
    <row r="86" spans="1:18" ht="12.75">
      <c r="A86" s="1"/>
      <c r="B86" s="1"/>
      <c r="C86" s="2"/>
      <c r="D86" s="2"/>
      <c r="E86" s="3"/>
      <c r="F86" s="3"/>
      <c r="G86" s="3"/>
      <c r="H86" s="3"/>
      <c r="I86" s="2"/>
      <c r="J86" s="3"/>
      <c r="K86" s="3"/>
      <c r="L86" s="3"/>
      <c r="M86" s="3"/>
      <c r="N86" s="2"/>
      <c r="O86" s="6"/>
      <c r="P86" s="2"/>
      <c r="Q86" s="2"/>
      <c r="R86" s="2"/>
    </row>
    <row r="87" spans="1:18" ht="12.75">
      <c r="A87" s="1"/>
      <c r="B87" s="1"/>
      <c r="C87" s="2"/>
      <c r="D87" s="2"/>
      <c r="E87" s="3"/>
      <c r="F87" s="3"/>
      <c r="G87" s="3"/>
      <c r="H87" s="3"/>
      <c r="I87" s="2"/>
      <c r="J87" s="6"/>
      <c r="K87" s="2"/>
      <c r="L87" s="3"/>
      <c r="M87" s="2"/>
      <c r="N87" s="2"/>
      <c r="O87" s="6"/>
      <c r="P87" s="4"/>
      <c r="Q87" s="4"/>
      <c r="R87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2004-02-24T18:33:37Z</cp:lastPrinted>
  <dcterms:created xsi:type="dcterms:W3CDTF">2000-01-10T00:44:42Z</dcterms:created>
  <dcterms:modified xsi:type="dcterms:W3CDTF">2004-02-24T18:34:24Z</dcterms:modified>
  <cp:category/>
  <cp:version/>
  <cp:contentType/>
  <cp:contentStatus/>
</cp:coreProperties>
</file>