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12000" windowHeight="6570" tabRatio="601" activeTab="5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  <sheet name="df c3" sheetId="7" r:id="rId7"/>
  </sheets>
  <definedNames/>
  <calcPr fullCalcOnLoad="1"/>
</workbook>
</file>

<file path=xl/sharedStrings.xml><?xml version="1.0" encoding="utf-8"?>
<sst xmlns="http://schemas.openxmlformats.org/spreadsheetml/2006/main" count="950" uniqueCount="249">
  <si>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</si>
  <si>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</si>
  <si>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</si>
  <si>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</si>
  <si>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</si>
  <si>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</si>
  <si>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</si>
  <si>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APCS Characteristics</t>
  </si>
  <si>
    <t>Stack Characteristics</t>
  </si>
  <si>
    <t xml:space="preserve">    Diameter (ft)</t>
  </si>
  <si>
    <t xml:space="preserve">    Height (ft)</t>
  </si>
  <si>
    <t>Permitting Status</t>
  </si>
  <si>
    <t xml:space="preserve">    Report Name/Date</t>
  </si>
  <si>
    <t xml:space="preserve">    Report Prepare</t>
  </si>
  <si>
    <t xml:space="preserve">    Testing Firm</t>
  </si>
  <si>
    <t xml:space="preserve">    Condition Descr</t>
  </si>
  <si>
    <t xml:space="preserve">    Content</t>
  </si>
  <si>
    <t>Units</t>
  </si>
  <si>
    <t>PM</t>
  </si>
  <si>
    <t>gr/dscf</t>
  </si>
  <si>
    <t>y</t>
  </si>
  <si>
    <t>ppmv</t>
  </si>
  <si>
    <t>dscfm</t>
  </si>
  <si>
    <t>%</t>
  </si>
  <si>
    <t>°F</t>
  </si>
  <si>
    <t>nd</t>
  </si>
  <si>
    <t>Feedstream Description</t>
  </si>
  <si>
    <t>g/hr</t>
  </si>
  <si>
    <t>Heating Value</t>
  </si>
  <si>
    <t>Btu/lb</t>
  </si>
  <si>
    <t>Ash</t>
  </si>
  <si>
    <t>Chlorine</t>
  </si>
  <si>
    <t>Viscosity</t>
  </si>
  <si>
    <t>cps</t>
  </si>
  <si>
    <t>HCl</t>
  </si>
  <si>
    <t>Cl2</t>
  </si>
  <si>
    <t>Freeport</t>
  </si>
  <si>
    <t>TX</t>
  </si>
  <si>
    <t>Dow Chemical Company</t>
  </si>
  <si>
    <t>Focus Environmental, Inc.</t>
  </si>
  <si>
    <t>METCO Environmental</t>
  </si>
  <si>
    <t>DRE</t>
  </si>
  <si>
    <t>lb/hr</t>
  </si>
  <si>
    <t>Density</t>
  </si>
  <si>
    <t>lb/gal</t>
  </si>
  <si>
    <t>MMBtu/hr</t>
  </si>
  <si>
    <t>None</t>
  </si>
  <si>
    <r>
      <t>o</t>
    </r>
    <r>
      <rPr>
        <sz val="10"/>
        <rFont val="Arial"/>
        <family val="2"/>
      </rPr>
      <t>F</t>
    </r>
  </si>
  <si>
    <t>pH</t>
  </si>
  <si>
    <t>F-2820</t>
  </si>
  <si>
    <t>APC Scrubber pH</t>
  </si>
  <si>
    <t>klb/hr</t>
  </si>
  <si>
    <t>Quench Scrubber Recir. Rate</t>
  </si>
  <si>
    <t>ODCB</t>
  </si>
  <si>
    <t>TDI Tars</t>
  </si>
  <si>
    <t>Spike</t>
  </si>
  <si>
    <t>&gt;</t>
  </si>
  <si>
    <t>Trial burn, min comb temp and max comb gas flow.</t>
  </si>
  <si>
    <t>PM, HCl/Cl2, Cr+6 (run 3 reported as run 5), CO (report only run 1, 2, and 5)</t>
  </si>
  <si>
    <t>Stack Gas Emissions</t>
  </si>
  <si>
    <t>HW</t>
  </si>
  <si>
    <t>SVM</t>
  </si>
  <si>
    <t>LVM</t>
  </si>
  <si>
    <t>µg/dscm</t>
  </si>
  <si>
    <t>mg/dscm</t>
  </si>
  <si>
    <t>Liquid wastes (TDI Tars)</t>
  </si>
  <si>
    <t>Liq</t>
  </si>
  <si>
    <t>Natural gas</t>
  </si>
  <si>
    <t>ug/dscm</t>
  </si>
  <si>
    <t>Stack Gas Flowrate</t>
  </si>
  <si>
    <t>Oxygen</t>
  </si>
  <si>
    <t>Estimated Firing Rate</t>
  </si>
  <si>
    <t>Capacity (MMBtu/hr)</t>
  </si>
  <si>
    <t>TXD008092793</t>
  </si>
  <si>
    <t>Venturi scrubber, acid scrubber (T-2820) uses caustic</t>
  </si>
  <si>
    <t>7% O2</t>
  </si>
  <si>
    <t>Feedstreams</t>
  </si>
  <si>
    <t>Cond Avg</t>
  </si>
  <si>
    <t>Combustor Characteristics</t>
  </si>
  <si>
    <t>Tier l for all metals (except Tier III for Cr+6)</t>
  </si>
  <si>
    <t>Trial burn, max waste feed, max op temp and prod rate, min APCS dP</t>
  </si>
  <si>
    <t>DRE for POHC (ODCB), CO</t>
  </si>
  <si>
    <t>Hazardous Wastes</t>
  </si>
  <si>
    <t>Supplemental Fuel</t>
  </si>
  <si>
    <t>TDI tar</t>
  </si>
  <si>
    <t>lb/lb</t>
  </si>
  <si>
    <t>Acid Scrubber Recir. Ratio</t>
  </si>
  <si>
    <t>APC Scrubber Blowdown</t>
  </si>
  <si>
    <t xml:space="preserve">    Testing Dates</t>
  </si>
  <si>
    <t>2020C1</t>
  </si>
  <si>
    <t>2020C2</t>
  </si>
  <si>
    <t>Process Information</t>
  </si>
  <si>
    <t>Comb Temp</t>
  </si>
  <si>
    <t>Prod Rate</t>
  </si>
  <si>
    <t>Comb Air Flow (back end)</t>
  </si>
  <si>
    <t>Comb Air Flow (front end)</t>
  </si>
  <si>
    <t>Acid Scrubber Recir Ratio</t>
  </si>
  <si>
    <t>Quench Scrubber Recir Rate</t>
  </si>
  <si>
    <t>WHB/VS/WS</t>
  </si>
  <si>
    <t>Feedrate MTEC Calculations</t>
  </si>
  <si>
    <t>Source Description</t>
  </si>
  <si>
    <t>Phase II ID No.</t>
  </si>
  <si>
    <t xml:space="preserve">    Gas Velocity (ft/sec)</t>
  </si>
  <si>
    <t xml:space="preserve">    Gas Temperature (°F)</t>
  </si>
  <si>
    <t>Firetube boiler, Johnston Boiler Company, horizontal fired combustion chamber, T-Thermal, capacity of 40 MMBtu/hr, operated @ 1530C, soot blowing used</t>
  </si>
  <si>
    <t>Yes</t>
  </si>
  <si>
    <t>Soot Blowing</t>
  </si>
  <si>
    <t>Haz Waste Description</t>
  </si>
  <si>
    <t xml:space="preserve">   Temperature</t>
  </si>
  <si>
    <t xml:space="preserve">   Stack Gas Flowrate</t>
  </si>
  <si>
    <t>Comments</t>
  </si>
  <si>
    <t>Trial burn</t>
  </si>
  <si>
    <t>PM, HCl/Cl2</t>
  </si>
  <si>
    <t>Cr+6</t>
  </si>
  <si>
    <t>POHC Feedrate</t>
  </si>
  <si>
    <t>Emission Rate</t>
  </si>
  <si>
    <t xml:space="preserve">   O2</t>
  </si>
  <si>
    <t xml:space="preserve">   Moisture</t>
  </si>
  <si>
    <t>CO (RA)</t>
  </si>
  <si>
    <t>CO (MHRA)</t>
  </si>
  <si>
    <t>Total Chlorine</t>
  </si>
  <si>
    <t>Sampling Train</t>
  </si>
  <si>
    <t>Arsenic</t>
  </si>
  <si>
    <t>Barium</t>
  </si>
  <si>
    <t>Beryllium</t>
  </si>
  <si>
    <t>Zinc</t>
  </si>
  <si>
    <t>Thallium</t>
  </si>
  <si>
    <t>Antimony</t>
  </si>
  <si>
    <t>Lead</t>
  </si>
  <si>
    <t>Nickel</t>
  </si>
  <si>
    <t>Cadmium</t>
  </si>
  <si>
    <t>Silver</t>
  </si>
  <si>
    <t>Chromium</t>
  </si>
  <si>
    <t xml:space="preserve">2020C1 </t>
  </si>
  <si>
    <t xml:space="preserve">2020C2 </t>
  </si>
  <si>
    <t>*</t>
  </si>
  <si>
    <t>Thermal Feedrate</t>
  </si>
  <si>
    <t>Mercury</t>
  </si>
  <si>
    <t>Feed Rate</t>
  </si>
  <si>
    <t>February 12 and March 2, 1999</t>
  </si>
  <si>
    <t>Risk Rurn Report for Dow Facility ID No. F-2820, June 16, 2000</t>
  </si>
  <si>
    <t>PCDD/PCDF</t>
  </si>
  <si>
    <t>Risk burn</t>
  </si>
  <si>
    <t>Facility Name and ID:</t>
  </si>
  <si>
    <t>Dow Chemical Company, Freeport TX</t>
  </si>
  <si>
    <t>Condition ID:</t>
  </si>
  <si>
    <t>Condition/Test Date:</t>
  </si>
  <si>
    <t>I-TEF</t>
  </si>
  <si>
    <t>Run 1</t>
  </si>
  <si>
    <t>Run 2</t>
  </si>
  <si>
    <t>Run 3</t>
  </si>
  <si>
    <t>Wght Fact</t>
  </si>
  <si>
    <t>Total</t>
  </si>
  <si>
    <t xml:space="preserve"> TEQ</t>
  </si>
  <si>
    <t>TEQ</t>
  </si>
  <si>
    <t xml:space="preserve"> 1/2 ND</t>
  </si>
  <si>
    <t>1/2 ND</t>
  </si>
  <si>
    <t>Detected in sample volume (pg)</t>
  </si>
  <si>
    <t>2,3,7,8-TCDD</t>
  </si>
  <si>
    <t>1,2,3,7,8-PCDD</t>
  </si>
  <si>
    <t>1,2,3,4,7,8-HxCDD</t>
  </si>
  <si>
    <t>1,2,3,6,7,8-HxCDD</t>
  </si>
  <si>
    <t>1,2,3,7,8,9-HxCDD</t>
  </si>
  <si>
    <t>1,2,3,4,6,7,8-HpCDD</t>
  </si>
  <si>
    <t>OCDD</t>
  </si>
  <si>
    <t>2,3,7,8-TCDF</t>
  </si>
  <si>
    <t>1,2,3,7,8-PCDF</t>
  </si>
  <si>
    <t>2,3,4,7,8-PCDF</t>
  </si>
  <si>
    <t>1,2,3,4,7,8-HxCDF</t>
  </si>
  <si>
    <t>1,2,3,6,7,8-HxCDF</t>
  </si>
  <si>
    <t>2,3,4,6,7,8-HxCDF</t>
  </si>
  <si>
    <t>1,2,3,7,8,9-HxCDF</t>
  </si>
  <si>
    <t>1,2,3,4,6,7,8-HpCDF</t>
  </si>
  <si>
    <t>1,2,3,4,7,8,9-HpCDF</t>
  </si>
  <si>
    <t>OCDF</t>
  </si>
  <si>
    <t>Gas sample volume (dscf)</t>
  </si>
  <si>
    <t>O2 (%)*</t>
  </si>
  <si>
    <t>PCDD/PCDF (pg in sample)</t>
  </si>
  <si>
    <t>PCDD/PCDF (ng/dscm @ 7% O2)</t>
  </si>
  <si>
    <t>TEQ Cond Avg</t>
  </si>
  <si>
    <t>Total Cond Avg</t>
  </si>
  <si>
    <t>2020C3</t>
  </si>
  <si>
    <t>gpm</t>
  </si>
  <si>
    <t>Metals</t>
  </si>
  <si>
    <t>Particle Size Distribution</t>
  </si>
  <si>
    <t>0.2-0.5</t>
  </si>
  <si>
    <t>wt %</t>
  </si>
  <si>
    <t>0.5-0.9</t>
  </si>
  <si>
    <t>0.9-1.3</t>
  </si>
  <si>
    <t>1.3-2.7</t>
  </si>
  <si>
    <t>2.7-4.5</t>
  </si>
  <si>
    <t>4.5-6.5</t>
  </si>
  <si>
    <t>6.5-9.7</t>
  </si>
  <si>
    <t>9.7-15</t>
  </si>
  <si>
    <t>&gt; 15</t>
  </si>
  <si>
    <t>PCDD/PCDF, metals</t>
  </si>
  <si>
    <t>Risk burn, normal operating cond of liq feed and comb temp</t>
  </si>
  <si>
    <t>HWC Burn Status (Date if Terminated)</t>
  </si>
  <si>
    <t>F-2820 Trial Burn Report, May 6, 1999</t>
  </si>
  <si>
    <t>March 21-22, 2000</t>
  </si>
  <si>
    <t>Risk burn, normal operating cond of liq feed and comb temp, March 21-22, 2000</t>
  </si>
  <si>
    <t xml:space="preserve">    Cond Dates</t>
  </si>
  <si>
    <t>HCl Production Furnace</t>
  </si>
  <si>
    <t>Cond Description</t>
  </si>
  <si>
    <t>E1</t>
  </si>
  <si>
    <t>Chromium (Hex)</t>
  </si>
  <si>
    <t>E2</t>
  </si>
  <si>
    <t>Cobalt</t>
  </si>
  <si>
    <t>Copper</t>
  </si>
  <si>
    <t>Manganese</t>
  </si>
  <si>
    <t>Selenium</t>
  </si>
  <si>
    <t>Vanadium</t>
  </si>
  <si>
    <t>Molybdenum</t>
  </si>
  <si>
    <t>Number of Sister Facilities</t>
  </si>
  <si>
    <t>Combustor Class</t>
  </si>
  <si>
    <t>Combustor Type</t>
  </si>
  <si>
    <t>APCS Detailed Acronym</t>
  </si>
  <si>
    <t>APCS General Class</t>
  </si>
  <si>
    <t>WHB, HEWS, LEWS</t>
  </si>
  <si>
    <t>source</t>
  </si>
  <si>
    <t>cond</t>
  </si>
  <si>
    <t>emiss</t>
  </si>
  <si>
    <t>feed</t>
  </si>
  <si>
    <t>process</t>
  </si>
  <si>
    <t>R1</t>
  </si>
  <si>
    <t>R2</t>
  </si>
  <si>
    <t>R3</t>
  </si>
  <si>
    <t>Feedstream Number</t>
  </si>
  <si>
    <t>Feed Class</t>
  </si>
  <si>
    <t>F1</t>
  </si>
  <si>
    <t>F2</t>
  </si>
  <si>
    <t>F3</t>
  </si>
  <si>
    <t>Liq HW</t>
  </si>
  <si>
    <t>Feed Class 2</t>
  </si>
  <si>
    <t>risk burn</t>
  </si>
  <si>
    <t>trial burn</t>
  </si>
  <si>
    <t>Full ND</t>
  </si>
  <si>
    <t>df c3</t>
  </si>
  <si>
    <t>N</t>
  </si>
  <si>
    <t>Total TCDD</t>
  </si>
  <si>
    <t>Total HxCDD</t>
  </si>
  <si>
    <t>Total HpCDD</t>
  </si>
  <si>
    <t>Total PCDD</t>
  </si>
  <si>
    <t>Total TCDF</t>
  </si>
  <si>
    <t>Total PCDF</t>
  </si>
  <si>
    <t>Total HxCDF</t>
  </si>
  <si>
    <t>Total HpCDF</t>
  </si>
  <si>
    <t>Total Furans</t>
  </si>
  <si>
    <t>Total Dioxins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</si>
</sst>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mmm\-yyyy"/>
    <numFmt numFmtId="173" formatCode="&quot;$&quot;#,##0.0"/>
    <numFmt numFmtId="174" formatCode="#,##0.0"/>
    <numFmt numFmtId="175" formatCode="0.0E+00"/>
    <numFmt numFmtId="176" formatCode="0.00000000"/>
    <numFmt numFmtId="177" formatCode="0.0000000"/>
  </numFmts>
  <fonts count="8">
    <font>
      <sz val="10"/>
      <name val="Arial"/>
      <family val="0"/>
    </font>
    <font>
      <b/>
      <sz val="10"/>
      <name val="Helv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11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7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166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11" fontId="0" fillId="0" borderId="0" xfId="0" applyNumberFormat="1" applyFont="1" applyFill="1" applyBorder="1" applyAlignment="1">
      <alignment horizontal="right"/>
    </xf>
    <xf numFmtId="175" fontId="0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167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6" fillId="0" borderId="0" xfId="0" applyFont="1" applyBorder="1" applyAlignment="1">
      <alignment horizontal="left"/>
    </xf>
    <xf numFmtId="165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1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Continuous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horizontal="right"/>
    </xf>
    <xf numFmtId="164" fontId="0" fillId="0" borderId="0" xfId="0" applyNumberFormat="1" applyFont="1" applyAlignment="1">
      <alignment vertical="top" wrapText="1"/>
    </xf>
    <xf numFmtId="17" fontId="0" fillId="0" borderId="0" xfId="0" applyNumberFormat="1" applyFont="1" applyAlignment="1">
      <alignment horizontal="left"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2" fontId="0" fillId="0" borderId="0" xfId="0" applyNumberForma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D9" sqref="C8:D9"/>
    </sheetView>
  </sheetViews>
  <sheetFormatPr defaultColWidth="9.140625" defaultRowHeight="12.75"/>
  <sheetData>
    <row r="1" ht="12.75">
      <c r="A1" t="s">
        <v>219</v>
      </c>
    </row>
    <row r="2" ht="12.75">
      <c r="A2" t="s">
        <v>220</v>
      </c>
    </row>
    <row r="3" ht="12.75">
      <c r="A3" t="s">
        <v>221</v>
      </c>
    </row>
    <row r="4" ht="12.75">
      <c r="A4" t="s">
        <v>222</v>
      </c>
    </row>
    <row r="5" ht="12.75">
      <c r="A5" t="s">
        <v>223</v>
      </c>
    </row>
    <row r="6" ht="12.75">
      <c r="A6" t="s">
        <v>237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B300"/>
  <sheetViews>
    <sheetView workbookViewId="0" topLeftCell="B1">
      <selection activeCell="C9" sqref="C9"/>
    </sheetView>
  </sheetViews>
  <sheetFormatPr defaultColWidth="9.140625" defaultRowHeight="12.75"/>
  <cols>
    <col min="1" max="1" width="9.140625" style="1" hidden="1" customWidth="1"/>
    <col min="2" max="2" width="25.421875" style="1" customWidth="1"/>
    <col min="3" max="3" width="59.00390625" style="1" customWidth="1"/>
    <col min="4" max="4" width="8.8515625" style="1" hidden="1" customWidth="1"/>
    <col min="5" max="16384" width="8.8515625" style="1" customWidth="1"/>
  </cols>
  <sheetData>
    <row r="1" spans="2:28" ht="12.75">
      <c r="B1" s="13" t="s">
        <v>100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2:28" ht="12.75">
      <c r="B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2:28" ht="12.75">
      <c r="B3" s="28" t="s">
        <v>101</v>
      </c>
      <c r="C3" s="29">
        <v>2020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</row>
    <row r="4" spans="2:28" ht="12.75">
      <c r="B4" s="28" t="s">
        <v>0</v>
      </c>
      <c r="C4" s="28" t="s">
        <v>73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</row>
    <row r="5" spans="2:28" ht="12.75">
      <c r="B5" s="28" t="s">
        <v>1</v>
      </c>
      <c r="C5" s="28" t="s">
        <v>38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</row>
    <row r="6" spans="2:28" ht="12.75">
      <c r="B6" s="28" t="s">
        <v>2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2:28" ht="12.75">
      <c r="B7" s="28" t="s">
        <v>3</v>
      </c>
      <c r="C7" s="28" t="s">
        <v>36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</row>
    <row r="8" spans="2:28" ht="12.75">
      <c r="B8" s="28" t="s">
        <v>4</v>
      </c>
      <c r="C8" s="28" t="s">
        <v>37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</row>
    <row r="9" spans="2:28" ht="12.75">
      <c r="B9" s="28" t="s">
        <v>5</v>
      </c>
      <c r="C9" s="28" t="s">
        <v>49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</row>
    <row r="10" spans="2:28" ht="12.75">
      <c r="B10" s="28" t="s">
        <v>6</v>
      </c>
      <c r="C10" s="28" t="s">
        <v>46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</row>
    <row r="11" spans="2:28" ht="12.75">
      <c r="B11" s="28" t="s">
        <v>213</v>
      </c>
      <c r="C11" s="29">
        <v>0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</row>
    <row r="12" spans="2:28" ht="12.75">
      <c r="B12" s="28" t="s">
        <v>214</v>
      </c>
      <c r="C12" s="28" t="s">
        <v>202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</row>
    <row r="13" spans="2:28" ht="12.75">
      <c r="B13" s="28" t="s">
        <v>215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</row>
    <row r="14" spans="2:28" ht="38.25">
      <c r="B14" s="58" t="s">
        <v>78</v>
      </c>
      <c r="C14" s="57" t="s">
        <v>104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</row>
    <row r="15" spans="2:28" ht="12.75">
      <c r="B15" s="28" t="s">
        <v>72</v>
      </c>
      <c r="C15" s="29">
        <v>40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</row>
    <row r="16" spans="2:28" ht="12.75">
      <c r="B16" s="28" t="s">
        <v>106</v>
      </c>
      <c r="C16" s="28" t="s">
        <v>105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</row>
    <row r="17" spans="2:28" ht="12.75">
      <c r="B17" s="28" t="s">
        <v>216</v>
      </c>
      <c r="C17" s="28" t="s">
        <v>98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</row>
    <row r="18" spans="2:28" ht="12.75">
      <c r="B18" s="28" t="s">
        <v>217</v>
      </c>
      <c r="C18" s="28" t="s">
        <v>218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</row>
    <row r="19" spans="2:28" ht="12.75">
      <c r="B19" s="28" t="s">
        <v>7</v>
      </c>
      <c r="C19" s="57" t="s">
        <v>74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</row>
    <row r="20" spans="2:28" ht="12.75">
      <c r="B20" s="28" t="s">
        <v>82</v>
      </c>
      <c r="C20" s="28" t="s">
        <v>66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</row>
    <row r="21" spans="2:28" ht="12.75">
      <c r="B21" s="28" t="s">
        <v>107</v>
      </c>
      <c r="C21" s="28" t="s">
        <v>65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</row>
    <row r="22" spans="2:28" ht="12.75">
      <c r="B22" s="28" t="s">
        <v>83</v>
      </c>
      <c r="C22" s="28" t="s">
        <v>67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</row>
    <row r="23" spans="2:28" ht="12.75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</row>
    <row r="24" spans="2:28" ht="12.75">
      <c r="B24" s="28" t="s">
        <v>8</v>
      </c>
      <c r="C24" s="29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</row>
    <row r="25" spans="2:28" ht="12.75">
      <c r="B25" s="28" t="s">
        <v>9</v>
      </c>
      <c r="C25" s="29">
        <v>2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</row>
    <row r="26" spans="2:28" ht="12.75">
      <c r="B26" s="28" t="s">
        <v>10</v>
      </c>
      <c r="C26" s="29">
        <v>186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</row>
    <row r="27" spans="2:28" ht="12.75">
      <c r="B27" s="28" t="s">
        <v>102</v>
      </c>
      <c r="C27" s="30">
        <v>43.78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</row>
    <row r="28" spans="2:28" ht="12.75">
      <c r="B28" s="28" t="s">
        <v>103</v>
      </c>
      <c r="C28" s="29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</row>
    <row r="29" spans="2:28" ht="12.75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</row>
    <row r="30" spans="2:28" ht="12.75">
      <c r="B30" s="28" t="s">
        <v>11</v>
      </c>
      <c r="C30" s="28" t="s">
        <v>79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</row>
    <row r="31" spans="2:28" s="83" customFormat="1" ht="25.5">
      <c r="B31" s="82" t="s">
        <v>197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</row>
    <row r="32" spans="2:28" ht="12.75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</row>
    <row r="55" spans="2:28" ht="12.75">
      <c r="B55" s="28"/>
      <c r="C55" s="31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</row>
    <row r="56" spans="2:28" ht="12.75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</row>
    <row r="57" spans="2:28" ht="12.75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</row>
    <row r="58" spans="2:28" ht="12.7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</row>
    <row r="59" spans="2:28" ht="12.75">
      <c r="B59" s="28"/>
      <c r="C59" s="31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</row>
    <row r="60" spans="2:28" ht="12.7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</row>
    <row r="61" spans="2:28" ht="12.75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</row>
    <row r="62" spans="2:28" ht="12.75">
      <c r="B62" s="28"/>
      <c r="C62" s="31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</row>
    <row r="63" spans="2:28" ht="12.75">
      <c r="B63" s="28"/>
      <c r="C63" s="31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</row>
    <row r="64" spans="2:28" ht="12.75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</row>
    <row r="65" spans="2:28" ht="12.75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</row>
    <row r="66" spans="2:28" ht="12.75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</row>
    <row r="67" spans="2:28" ht="12.75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</row>
    <row r="68" spans="2:28" ht="12.75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</row>
    <row r="69" spans="2:28" ht="12.75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</row>
    <row r="70" spans="2:28" ht="12.75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</row>
    <row r="71" spans="2:28" ht="12.75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</row>
    <row r="72" spans="2:28" ht="12.75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</row>
    <row r="73" spans="2:28" ht="12.75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</row>
    <row r="74" spans="2:28" ht="12.75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</row>
    <row r="75" spans="2:28" ht="12.75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</row>
    <row r="76" spans="2:28" ht="12.75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</row>
    <row r="77" spans="2:28" ht="12.75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</row>
    <row r="78" spans="2:28" ht="12.7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</row>
    <row r="79" spans="2:28" ht="12.7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</row>
    <row r="80" spans="2:28" ht="12.75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</row>
    <row r="81" spans="2:28" ht="12.75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</row>
    <row r="82" spans="2:28" ht="12.7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</row>
    <row r="83" spans="2:28" ht="12.75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</row>
    <row r="84" spans="2:28" ht="12.7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</row>
    <row r="85" spans="2:28" ht="12.7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</row>
    <row r="86" spans="2:28" ht="12.7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</row>
    <row r="87" spans="2:28" ht="12.75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</row>
    <row r="88" spans="2:28" ht="12.75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</row>
    <row r="89" spans="2:28" ht="12.75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</row>
    <row r="90" spans="2:28" ht="12.7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</row>
    <row r="91" spans="2:28" ht="12.75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</row>
    <row r="92" spans="2:28" ht="12.75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</row>
    <row r="93" spans="2:28" ht="12.75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</row>
    <row r="94" spans="2:28" ht="12.75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</row>
    <row r="95" spans="2:28" ht="12.75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</row>
    <row r="96" spans="2:28" ht="12.75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</row>
    <row r="97" spans="2:28" ht="12.75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</row>
    <row r="98" spans="2:28" ht="12.75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</row>
    <row r="99" spans="2:28" ht="12.75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</row>
    <row r="100" spans="2:28" ht="12.75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</row>
    <row r="101" spans="2:28" ht="12.75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</row>
    <row r="102" spans="2:28" ht="12.75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</row>
    <row r="103" spans="2:28" ht="12.75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</row>
    <row r="104" spans="2:28" ht="12.75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</row>
    <row r="105" spans="2:28" ht="12.75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</row>
    <row r="106" spans="2:28" ht="12.75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</row>
    <row r="107" spans="2:28" ht="12.75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</row>
    <row r="108" spans="2:28" ht="12.75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</row>
    <row r="109" spans="2:28" ht="12.75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</row>
    <row r="110" spans="2:28" ht="12.75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</row>
    <row r="111" spans="2:28" ht="12.75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</row>
    <row r="112" spans="2:28" ht="12.75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</row>
    <row r="113" spans="2:28" ht="12.75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</row>
    <row r="114" spans="2:28" ht="12.75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</row>
    <row r="115" spans="2:28" ht="12.75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</row>
    <row r="116" spans="2:28" ht="12.75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</row>
    <row r="117" spans="2:28" ht="12.75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</row>
    <row r="118" spans="2:28" ht="12.75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</row>
    <row r="119" spans="2:28" ht="12.75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</row>
    <row r="120" spans="2:28" ht="12.75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</row>
    <row r="121" spans="2:28" ht="12.75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</row>
    <row r="122" spans="2:28" ht="12.75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</row>
    <row r="123" spans="2:28" ht="12.75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</row>
    <row r="124" spans="2:28" ht="12.75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</row>
    <row r="125" spans="2:28" ht="12.75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</row>
    <row r="126" spans="2:28" ht="12.75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</row>
    <row r="127" spans="2:28" ht="12.75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</row>
    <row r="128" spans="2:28" ht="12.75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</row>
    <row r="129" spans="2:28" ht="12.75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</row>
    <row r="130" spans="2:28" ht="12.75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</row>
    <row r="131" spans="2:28" ht="12.75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</row>
    <row r="132" spans="2:28" ht="12.75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</row>
    <row r="133" spans="2:28" ht="12.75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</row>
    <row r="134" spans="2:28" ht="12.75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</row>
    <row r="135" spans="2:28" ht="12.75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</row>
    <row r="136" spans="2:28" ht="12.75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</row>
    <row r="137" spans="2:28" ht="12.75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</row>
    <row r="138" spans="2:28" ht="12.75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</row>
    <row r="139" spans="2:28" ht="12.75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</row>
    <row r="140" spans="2:28" ht="12.75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</row>
    <row r="141" spans="2:28" ht="12.75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</row>
    <row r="142" spans="2:28" ht="12.75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</row>
    <row r="143" spans="2:28" ht="12.75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</row>
    <row r="144" spans="2:28" ht="12.75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</row>
    <row r="145" spans="2:28" ht="12.75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</row>
    <row r="146" spans="2:28" ht="12.75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</row>
    <row r="147" spans="2:28" ht="12.75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</row>
    <row r="148" spans="2:28" ht="12.75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</row>
    <row r="149" spans="2:28" ht="12.75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</row>
    <row r="150" spans="2:28" ht="12.75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</row>
    <row r="151" spans="2:28" ht="12.75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</row>
    <row r="152" spans="2:28" ht="12.75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</row>
    <row r="153" spans="2:28" ht="12.75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</row>
    <row r="154" spans="2:28" ht="12.75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</row>
    <row r="155" spans="2:28" ht="12.75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</row>
    <row r="156" spans="2:28" ht="12.75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</row>
    <row r="157" spans="2:28" ht="12.75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</row>
    <row r="158" spans="2:28" ht="12.75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</row>
    <row r="159" spans="2:28" ht="12.75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</row>
    <row r="160" spans="2:28" ht="12.75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</row>
    <row r="161" spans="2:28" ht="12.75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</row>
    <row r="162" spans="2:28" ht="12.75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</row>
    <row r="163" spans="2:28" ht="12.75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</row>
    <row r="164" spans="2:28" ht="12.75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</row>
    <row r="165" spans="2:28" ht="12.75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</row>
    <row r="166" spans="2:28" ht="12.75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</row>
    <row r="167" spans="2:28" ht="12.75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</row>
    <row r="168" spans="2:28" ht="12.75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</row>
    <row r="169" spans="2:28" ht="12.75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</row>
    <row r="170" spans="2:28" ht="12.75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</row>
    <row r="171" spans="2:28" ht="12.75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</row>
    <row r="172" spans="2:28" ht="12.75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</row>
    <row r="173" spans="2:28" ht="12.75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</row>
    <row r="174" spans="2:28" ht="12.75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</row>
    <row r="175" spans="2:28" ht="12.75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</row>
    <row r="176" spans="2:28" ht="12.75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</row>
    <row r="177" spans="2:28" ht="12.75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</row>
    <row r="178" spans="2:28" ht="12.75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</row>
    <row r="179" spans="2:28" ht="12.75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</row>
    <row r="180" spans="2:28" ht="12.75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</row>
    <row r="181" spans="2:28" ht="12.75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</row>
    <row r="182" spans="2:28" ht="12.75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</row>
    <row r="183" spans="2:28" ht="12.75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</row>
    <row r="184" spans="2:28" ht="12.75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</row>
    <row r="185" spans="2:28" ht="12.75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</row>
    <row r="186" spans="2:28" ht="12.75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</row>
    <row r="187" spans="2:28" ht="12.75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</row>
    <row r="188" spans="2:28" ht="12.75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</row>
    <row r="189" spans="2:28" ht="12.75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</row>
    <row r="190" spans="2:28" ht="12.75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</row>
    <row r="191" spans="2:28" ht="12.75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</row>
    <row r="192" spans="2:28" ht="12.75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</row>
    <row r="193" spans="2:28" ht="12.75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</row>
    <row r="194" spans="2:28" ht="12.75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</row>
    <row r="195" spans="2:28" ht="12.75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</row>
    <row r="196" spans="2:28" ht="12.75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</row>
    <row r="197" spans="2:28" ht="12.75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</row>
    <row r="198" spans="2:28" ht="12.75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</row>
    <row r="199" spans="2:28" ht="12.75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</row>
    <row r="200" spans="2:28" ht="12.75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</row>
    <row r="201" spans="2:28" ht="12.75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</row>
    <row r="202" spans="2:28" ht="12.75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</row>
    <row r="203" spans="2:28" ht="12.75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</row>
    <row r="204" spans="2:28" ht="12.75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</row>
    <row r="205" spans="2:28" ht="12.75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</row>
    <row r="206" spans="2:28" ht="12.75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</row>
    <row r="207" spans="2:28" ht="12.75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</row>
    <row r="208" spans="2:28" ht="12.75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</row>
    <row r="209" spans="2:28" ht="12.75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</row>
    <row r="210" spans="2:28" ht="12.75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</row>
    <row r="211" spans="2:28" ht="12.75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</row>
    <row r="212" spans="2:28" ht="12.75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</row>
    <row r="213" spans="2:28" ht="12.75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</row>
    <row r="214" spans="2:28" ht="12.75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</row>
    <row r="215" spans="2:28" ht="12.75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</row>
    <row r="216" spans="2:28" ht="12.75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</row>
    <row r="217" spans="2:28" ht="12.75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</row>
    <row r="218" spans="2:28" ht="12.75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</row>
    <row r="219" spans="2:28" ht="12.75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</row>
    <row r="220" spans="2:28" ht="12.75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</row>
    <row r="221" spans="2:28" ht="12.75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</row>
    <row r="222" spans="2:28" ht="12.75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</row>
    <row r="223" spans="2:28" ht="12.75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</row>
    <row r="224" spans="2:28" ht="12.75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</row>
    <row r="225" spans="2:28" ht="12.75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</row>
    <row r="226" spans="2:28" ht="12.75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</row>
    <row r="227" spans="2:28" ht="12.75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</row>
    <row r="228" spans="2:28" ht="12.75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</row>
    <row r="229" spans="2:28" ht="12.75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</row>
    <row r="230" spans="2:28" ht="12.75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</row>
    <row r="231" spans="2:28" ht="12.75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</row>
    <row r="232" spans="2:28" ht="12.75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</row>
    <row r="233" spans="2:28" ht="12.75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</row>
    <row r="234" spans="2:28" ht="12.75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</row>
    <row r="235" spans="2:28" ht="12.75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</row>
    <row r="236" spans="2:28" ht="12.75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</row>
    <row r="237" spans="2:28" ht="12.75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</row>
    <row r="238" spans="2:28" ht="12.75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</row>
    <row r="239" spans="2:28" ht="12.75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</row>
    <row r="240" spans="2:28" ht="12.75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</row>
    <row r="241" spans="2:28" ht="12.75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</row>
    <row r="242" spans="2:28" ht="12.75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</row>
    <row r="243" spans="2:28" ht="12.75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</row>
    <row r="244" spans="2:28" ht="12.75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</row>
    <row r="245" spans="2:28" ht="12.75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</row>
    <row r="246" spans="2:28" ht="12.75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</row>
    <row r="247" spans="2:28" ht="12.75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</row>
    <row r="248" spans="2:28" ht="12.75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</row>
    <row r="249" spans="2:28" ht="12.75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</row>
    <row r="250" spans="2:28" ht="12.75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</row>
    <row r="251" spans="2:28" ht="12.75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</row>
    <row r="252" spans="2:28" ht="12.75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</row>
    <row r="253" spans="2:28" ht="12.75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</row>
    <row r="254" spans="2:28" ht="12.75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</row>
    <row r="255" spans="2:28" ht="12.75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</row>
    <row r="256" spans="2:28" ht="12.75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</row>
    <row r="257" spans="2:28" ht="12.75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</row>
    <row r="258" spans="2:28" ht="12.75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</row>
    <row r="259" spans="2:28" ht="12.75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</row>
    <row r="260" spans="2:28" ht="12.75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</row>
    <row r="261" spans="2:28" ht="12.75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</row>
    <row r="262" spans="2:28" ht="12.75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</row>
    <row r="263" spans="2:28" ht="12.75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</row>
    <row r="264" spans="2:28" ht="12.75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</row>
    <row r="265" spans="2:28" ht="12.75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</row>
    <row r="266" spans="2:28" ht="12.75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</row>
    <row r="267" spans="2:28" ht="12.75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</row>
    <row r="268" spans="2:28" ht="12.75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</row>
    <row r="269" spans="2:28" ht="12.75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</row>
    <row r="270" spans="2:28" ht="12.75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</row>
    <row r="271" spans="2:28" ht="12.75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</row>
    <row r="272" spans="2:28" ht="12.75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</row>
    <row r="273" spans="2:28" ht="12.75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</row>
    <row r="274" spans="2:28" ht="12.75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</row>
    <row r="275" spans="2:28" ht="12.75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</row>
    <row r="276" spans="2:28" ht="12.75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</row>
    <row r="277" spans="2:28" ht="12.75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</row>
    <row r="278" spans="2:28" ht="12.75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</row>
    <row r="279" spans="2:28" ht="12.75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</row>
    <row r="280" spans="2:28" ht="12.75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</row>
    <row r="281" spans="2:28" ht="12.75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</row>
    <row r="282" spans="2:28" ht="12.75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</row>
    <row r="283" spans="2:28" ht="12.75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</row>
    <row r="284" spans="2:28" ht="12.75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</row>
    <row r="285" spans="2:28" ht="12.75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</row>
    <row r="286" spans="2:28" ht="12.75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</row>
    <row r="287" spans="2:28" ht="12.75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</row>
    <row r="288" spans="2:28" ht="12.75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</row>
    <row r="289" spans="2:28" ht="12.75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</row>
    <row r="290" spans="2:28" ht="12.75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</row>
    <row r="291" spans="2:28" ht="12.75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</row>
    <row r="292" spans="2:28" ht="12.75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</row>
    <row r="293" spans="2:28" ht="12.75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</row>
    <row r="294" spans="2:28" ht="12.75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</row>
    <row r="295" spans="2:28" ht="12.75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</row>
    <row r="296" spans="2:28" ht="12.75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</row>
    <row r="297" spans="2:28" ht="12.75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</row>
    <row r="298" spans="2:28" ht="12.75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</row>
    <row r="299" spans="2:28" ht="12.75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</row>
    <row r="300" spans="2:28" ht="12.75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C30"/>
  <sheetViews>
    <sheetView workbookViewId="0" topLeftCell="B1">
      <selection activeCell="B2" sqref="B2"/>
    </sheetView>
  </sheetViews>
  <sheetFormatPr defaultColWidth="9.140625" defaultRowHeight="12.75"/>
  <cols>
    <col min="1" max="1" width="9.140625" style="28" hidden="1" customWidth="1"/>
    <col min="2" max="2" width="20.421875" style="28" customWidth="1"/>
    <col min="3" max="3" width="64.00390625" style="28" customWidth="1"/>
    <col min="4" max="16384" width="9.140625" style="28" customWidth="1"/>
  </cols>
  <sheetData>
    <row r="1" ht="12.75">
      <c r="B1" s="13" t="s">
        <v>203</v>
      </c>
    </row>
    <row r="3" ht="12.75">
      <c r="B3" s="81" t="s">
        <v>89</v>
      </c>
    </row>
    <row r="4" ht="12.75">
      <c r="B4" s="81"/>
    </row>
    <row r="5" spans="2:3" ht="12.75">
      <c r="B5" s="28" t="s">
        <v>12</v>
      </c>
      <c r="C5" s="28" t="s">
        <v>198</v>
      </c>
    </row>
    <row r="6" spans="2:3" ht="12.75">
      <c r="B6" s="28" t="s">
        <v>13</v>
      </c>
      <c r="C6" s="28" t="s">
        <v>39</v>
      </c>
    </row>
    <row r="7" spans="2:3" ht="12.75">
      <c r="B7" s="28" t="s">
        <v>14</v>
      </c>
      <c r="C7" s="28" t="s">
        <v>40</v>
      </c>
    </row>
    <row r="8" spans="2:3" ht="12.75">
      <c r="B8" s="28" t="s">
        <v>88</v>
      </c>
      <c r="C8" s="28" t="s">
        <v>139</v>
      </c>
    </row>
    <row r="9" spans="2:3" ht="12.75">
      <c r="B9" s="28" t="s">
        <v>201</v>
      </c>
      <c r="C9" s="80">
        <v>36192</v>
      </c>
    </row>
    <row r="10" spans="2:3" ht="12.75">
      <c r="B10" s="28" t="s">
        <v>15</v>
      </c>
      <c r="C10" s="28" t="s">
        <v>80</v>
      </c>
    </row>
    <row r="11" spans="2:3" s="57" customFormat="1" ht="25.5">
      <c r="B11" s="57" t="s">
        <v>16</v>
      </c>
      <c r="C11" s="79" t="s">
        <v>58</v>
      </c>
    </row>
    <row r="12" ht="12.75">
      <c r="B12" s="81" t="s">
        <v>90</v>
      </c>
    </row>
    <row r="13" ht="12.75">
      <c r="B13" s="81"/>
    </row>
    <row r="14" spans="2:3" ht="12.75">
      <c r="B14" s="28" t="s">
        <v>12</v>
      </c>
      <c r="C14" s="28" t="s">
        <v>198</v>
      </c>
    </row>
    <row r="15" spans="2:3" ht="12.75">
      <c r="B15" s="28" t="s">
        <v>13</v>
      </c>
      <c r="C15" s="28" t="s">
        <v>39</v>
      </c>
    </row>
    <row r="16" spans="2:3" ht="12.75">
      <c r="B16" s="28" t="s">
        <v>14</v>
      </c>
      <c r="C16" s="28" t="s">
        <v>40</v>
      </c>
    </row>
    <row r="17" spans="2:3" ht="12.75">
      <c r="B17" s="28" t="s">
        <v>88</v>
      </c>
      <c r="C17" s="31">
        <v>36202</v>
      </c>
    </row>
    <row r="18" spans="2:3" ht="12.75">
      <c r="B18" s="28" t="s">
        <v>201</v>
      </c>
      <c r="C18" s="80">
        <v>36192</v>
      </c>
    </row>
    <row r="19" spans="2:3" ht="12.75">
      <c r="B19" s="28" t="s">
        <v>15</v>
      </c>
      <c r="C19" s="31" t="s">
        <v>57</v>
      </c>
    </row>
    <row r="20" spans="2:3" ht="12.75">
      <c r="B20" s="28" t="s">
        <v>16</v>
      </c>
      <c r="C20" s="31" t="s">
        <v>81</v>
      </c>
    </row>
    <row r="21" ht="12.75">
      <c r="C21" s="31"/>
    </row>
    <row r="22" ht="12.75">
      <c r="B22" s="81" t="s">
        <v>181</v>
      </c>
    </row>
    <row r="23" ht="12.75">
      <c r="B23" s="81"/>
    </row>
    <row r="24" spans="2:3" ht="12.75">
      <c r="B24" s="28" t="s">
        <v>12</v>
      </c>
      <c r="C24" s="28" t="s">
        <v>140</v>
      </c>
    </row>
    <row r="25" spans="2:3" ht="12.75">
      <c r="B25" s="28" t="s">
        <v>13</v>
      </c>
      <c r="C25" s="28" t="s">
        <v>39</v>
      </c>
    </row>
    <row r="26" spans="2:3" ht="12.75">
      <c r="B26" s="28" t="s">
        <v>14</v>
      </c>
      <c r="C26" s="28" t="s">
        <v>40</v>
      </c>
    </row>
    <row r="27" spans="2:3" ht="12.75">
      <c r="B27" s="28" t="s">
        <v>88</v>
      </c>
      <c r="C27" s="28" t="s">
        <v>199</v>
      </c>
    </row>
    <row r="28" spans="2:3" ht="12.75">
      <c r="B28" s="28" t="s">
        <v>201</v>
      </c>
      <c r="C28" s="80">
        <v>36586</v>
      </c>
    </row>
    <row r="29" spans="2:3" ht="12.75">
      <c r="B29" s="28" t="s">
        <v>15</v>
      </c>
      <c r="C29" s="28" t="s">
        <v>196</v>
      </c>
    </row>
    <row r="30" spans="2:3" ht="12.75">
      <c r="B30" s="28" t="s">
        <v>16</v>
      </c>
      <c r="C30" s="28" t="s">
        <v>195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63"/>
  <sheetViews>
    <sheetView zoomScale="80" zoomScaleNormal="80" workbookViewId="0" topLeftCell="B1">
      <selection activeCell="K6" sqref="K6"/>
    </sheetView>
  </sheetViews>
  <sheetFormatPr defaultColWidth="9.140625" defaultRowHeight="12.75"/>
  <cols>
    <col min="1" max="1" width="6.8515625" style="3" hidden="1" customWidth="1"/>
    <col min="2" max="3" width="17.421875" style="3" customWidth="1"/>
    <col min="4" max="4" width="8.00390625" style="5" customWidth="1"/>
    <col min="5" max="5" width="5.140625" style="5" customWidth="1"/>
    <col min="6" max="6" width="5.8515625" style="4" customWidth="1"/>
    <col min="7" max="7" width="10.421875" style="3" customWidth="1"/>
    <col min="8" max="8" width="6.00390625" style="4" customWidth="1"/>
    <col min="9" max="9" width="9.421875" style="10" customWidth="1"/>
    <col min="10" max="10" width="6.28125" style="4" customWidth="1"/>
    <col min="11" max="11" width="9.7109375" style="3" customWidth="1"/>
    <col min="12" max="12" width="6.28125" style="3" customWidth="1"/>
    <col min="13" max="13" width="8.8515625" style="3" customWidth="1"/>
    <col min="14" max="14" width="11.7109375" style="3" customWidth="1"/>
    <col min="15" max="66" width="8.8515625" style="0" customWidth="1"/>
    <col min="67" max="16384" width="8.8515625" style="3" customWidth="1"/>
  </cols>
  <sheetData>
    <row r="1" spans="2:14" ht="12.75">
      <c r="B1" s="65" t="s">
        <v>59</v>
      </c>
      <c r="C1" s="32"/>
      <c r="D1" s="18"/>
      <c r="E1" s="18"/>
      <c r="F1" s="35"/>
      <c r="G1" s="33"/>
      <c r="H1" s="35"/>
      <c r="I1" s="34"/>
      <c r="J1" s="35"/>
      <c r="K1" s="33"/>
      <c r="L1" s="33"/>
      <c r="M1" s="33"/>
      <c r="N1" s="33"/>
    </row>
    <row r="2" spans="2:14" ht="12.75">
      <c r="B2" s="35"/>
      <c r="C2" s="35"/>
      <c r="D2" s="18"/>
      <c r="E2" s="18"/>
      <c r="F2" s="35"/>
      <c r="G2" s="35"/>
      <c r="H2" s="35"/>
      <c r="I2" s="36"/>
      <c r="J2" s="35"/>
      <c r="K2" s="35"/>
      <c r="L2" s="35"/>
      <c r="M2" s="33"/>
      <c r="N2" s="33"/>
    </row>
    <row r="3" spans="2:14" ht="12.75">
      <c r="B3" s="28"/>
      <c r="C3" s="28" t="s">
        <v>110</v>
      </c>
      <c r="D3" s="18" t="s">
        <v>17</v>
      </c>
      <c r="E3" s="18" t="s">
        <v>75</v>
      </c>
      <c r="F3" s="35"/>
      <c r="N3" s="33"/>
    </row>
    <row r="4" spans="2:14" ht="12.75">
      <c r="B4" s="28"/>
      <c r="C4" s="28"/>
      <c r="D4" s="18"/>
      <c r="E4" s="18"/>
      <c r="F4" s="35"/>
      <c r="G4" s="35"/>
      <c r="H4" s="35"/>
      <c r="I4" s="36"/>
      <c r="J4" s="35"/>
      <c r="K4" s="33"/>
      <c r="L4" s="35"/>
      <c r="M4" s="33"/>
      <c r="N4" s="33"/>
    </row>
    <row r="5" spans="2:14" ht="12.75">
      <c r="B5" s="28"/>
      <c r="C5" s="28"/>
      <c r="D5" s="18"/>
      <c r="E5" s="18"/>
      <c r="F5" s="35"/>
      <c r="G5" s="35"/>
      <c r="H5" s="35"/>
      <c r="I5" s="36"/>
      <c r="J5" s="35"/>
      <c r="K5" s="33"/>
      <c r="L5" s="35"/>
      <c r="M5" s="33"/>
      <c r="N5" s="33"/>
    </row>
    <row r="6" spans="1:14" ht="12.75">
      <c r="A6" s="3">
        <v>1</v>
      </c>
      <c r="B6" s="37" t="s">
        <v>89</v>
      </c>
      <c r="C6" s="37" t="s">
        <v>111</v>
      </c>
      <c r="D6" s="18"/>
      <c r="E6" s="18"/>
      <c r="F6" s="35"/>
      <c r="G6" s="35" t="s">
        <v>224</v>
      </c>
      <c r="H6" s="35"/>
      <c r="I6" s="36" t="s">
        <v>225</v>
      </c>
      <c r="J6" s="35"/>
      <c r="K6" s="35" t="s">
        <v>226</v>
      </c>
      <c r="L6" s="35"/>
      <c r="M6" s="35" t="s">
        <v>77</v>
      </c>
      <c r="N6" s="33"/>
    </row>
    <row r="7" spans="2:14" ht="12.75">
      <c r="B7" s="18"/>
      <c r="C7" s="18"/>
      <c r="D7" s="28"/>
      <c r="E7" s="28"/>
      <c r="F7" s="56"/>
      <c r="G7" s="28"/>
      <c r="H7" s="56"/>
      <c r="I7" s="38"/>
      <c r="J7" s="56"/>
      <c r="K7" s="33"/>
      <c r="L7" s="35"/>
      <c r="M7" s="33"/>
      <c r="N7" s="33"/>
    </row>
    <row r="8" spans="2:14" ht="12.75">
      <c r="B8" s="18" t="s">
        <v>18</v>
      </c>
      <c r="C8" s="18" t="s">
        <v>204</v>
      </c>
      <c r="D8" s="18" t="s">
        <v>19</v>
      </c>
      <c r="E8" s="18" t="s">
        <v>20</v>
      </c>
      <c r="F8" s="35"/>
      <c r="G8" s="28">
        <v>0.0093</v>
      </c>
      <c r="H8" s="56"/>
      <c r="I8" s="38">
        <v>0.0082</v>
      </c>
      <c r="J8" s="56"/>
      <c r="K8" s="39">
        <v>0.0079</v>
      </c>
      <c r="L8" s="35"/>
      <c r="M8" s="39">
        <v>0.0085</v>
      </c>
      <c r="N8" s="33"/>
    </row>
    <row r="9" spans="2:14" ht="12.75">
      <c r="B9" s="18" t="s">
        <v>119</v>
      </c>
      <c r="C9" s="18" t="s">
        <v>204</v>
      </c>
      <c r="D9" s="18" t="s">
        <v>21</v>
      </c>
      <c r="E9" s="18" t="s">
        <v>20</v>
      </c>
      <c r="F9" s="35"/>
      <c r="G9" s="28">
        <v>4.2</v>
      </c>
      <c r="H9" s="56"/>
      <c r="I9" s="38">
        <v>5.3</v>
      </c>
      <c r="J9" s="56"/>
      <c r="K9" s="40">
        <v>6.1</v>
      </c>
      <c r="L9" s="35"/>
      <c r="M9" s="40">
        <f>AVERAGE(G9,I9,K9)</f>
        <v>5.2</v>
      </c>
      <c r="N9" s="33"/>
    </row>
    <row r="10" spans="2:14" ht="12.75">
      <c r="B10" s="18" t="s">
        <v>118</v>
      </c>
      <c r="C10" s="18" t="s">
        <v>204</v>
      </c>
      <c r="D10" s="18" t="s">
        <v>21</v>
      </c>
      <c r="E10" s="18" t="s">
        <v>20</v>
      </c>
      <c r="F10" s="35"/>
      <c r="G10" s="41">
        <v>2.84</v>
      </c>
      <c r="H10" s="35"/>
      <c r="I10" s="42">
        <v>4.65</v>
      </c>
      <c r="J10" s="35"/>
      <c r="K10" s="40">
        <v>3.45</v>
      </c>
      <c r="L10" s="35"/>
      <c r="M10" s="40">
        <f>AVERAGE(G10,I10,K10)</f>
        <v>3.646666666666667</v>
      </c>
      <c r="N10" s="33"/>
    </row>
    <row r="11" spans="2:14" ht="12.75">
      <c r="B11" s="18" t="s">
        <v>34</v>
      </c>
      <c r="C11" s="18"/>
      <c r="D11" s="18" t="s">
        <v>27</v>
      </c>
      <c r="E11" s="18"/>
      <c r="F11" s="35" t="s">
        <v>25</v>
      </c>
      <c r="G11" s="41">
        <v>10.5</v>
      </c>
      <c r="H11" s="35"/>
      <c r="I11" s="42">
        <v>14.3</v>
      </c>
      <c r="J11" s="35" t="s">
        <v>25</v>
      </c>
      <c r="K11" s="40">
        <v>11.4</v>
      </c>
      <c r="L11" s="35"/>
      <c r="M11" s="40">
        <f>AVERAGE(G11,I11,K11)</f>
        <v>12.066666666666668</v>
      </c>
      <c r="N11" s="33"/>
    </row>
    <row r="12" spans="2:14" ht="12.75">
      <c r="B12" s="18" t="s">
        <v>35</v>
      </c>
      <c r="C12" s="18"/>
      <c r="D12" s="18" t="s">
        <v>27</v>
      </c>
      <c r="E12" s="18"/>
      <c r="F12" s="35" t="s">
        <v>25</v>
      </c>
      <c r="G12" s="41">
        <v>2.47</v>
      </c>
      <c r="H12" s="35" t="s">
        <v>25</v>
      </c>
      <c r="I12" s="42">
        <v>2.34</v>
      </c>
      <c r="J12" s="35"/>
      <c r="K12" s="43">
        <v>3.03</v>
      </c>
      <c r="L12" s="35"/>
      <c r="M12" s="43">
        <f>AVERAGE(G12,I12,K12)</f>
        <v>2.6133333333333333</v>
      </c>
      <c r="N12" s="33"/>
    </row>
    <row r="13" spans="2:14" ht="12.75">
      <c r="B13" s="84" t="s">
        <v>205</v>
      </c>
      <c r="C13" s="18"/>
      <c r="D13" s="18" t="s">
        <v>27</v>
      </c>
      <c r="E13" s="18"/>
      <c r="F13" s="35"/>
      <c r="G13" s="41">
        <v>0.033</v>
      </c>
      <c r="H13" s="35"/>
      <c r="I13" s="42">
        <v>0.029</v>
      </c>
      <c r="J13" s="35"/>
      <c r="K13" s="44">
        <v>0.019</v>
      </c>
      <c r="L13" s="35"/>
      <c r="M13" s="44">
        <f>AVERAGE(G13,I13,K13)</f>
        <v>0.027</v>
      </c>
      <c r="N13" s="33"/>
    </row>
    <row r="14" spans="2:14" ht="12.75">
      <c r="B14" s="18"/>
      <c r="C14" s="18"/>
      <c r="D14" s="18"/>
      <c r="E14" s="18"/>
      <c r="F14" s="35"/>
      <c r="G14" s="41"/>
      <c r="H14" s="35"/>
      <c r="I14" s="42"/>
      <c r="J14" s="35"/>
      <c r="K14" s="44"/>
      <c r="L14" s="35"/>
      <c r="M14" s="44"/>
      <c r="N14" s="33"/>
    </row>
    <row r="15" spans="2:14" ht="12.75">
      <c r="B15" s="84" t="s">
        <v>205</v>
      </c>
      <c r="C15" s="18" t="s">
        <v>206</v>
      </c>
      <c r="D15" s="18" t="s">
        <v>63</v>
      </c>
      <c r="E15" s="18" t="s">
        <v>20</v>
      </c>
      <c r="F15" s="35"/>
      <c r="G15" s="19">
        <f>(G13/(G22*60*0.0283))*10^6*(14/(21-G23))</f>
        <v>1.984535698865522</v>
      </c>
      <c r="H15" s="60"/>
      <c r="I15" s="19">
        <f>(I13/(I22*60*0.0283))*10^6*(14/(21-I23))</f>
        <v>1.7162891950675538</v>
      </c>
      <c r="J15" s="60"/>
      <c r="K15" s="19">
        <f>(K13/(K22*60*0.0283))*10^6*(14/(21-K23))</f>
        <v>0.9710521320865618</v>
      </c>
      <c r="L15" s="19"/>
      <c r="M15" s="19">
        <f>(M13/(M22*60*0.0283))*10^6*(14/(21-M23))</f>
        <v>1.5275597109957246</v>
      </c>
      <c r="N15" s="33"/>
    </row>
    <row r="16" spans="2:14" ht="12.75">
      <c r="B16" s="84"/>
      <c r="C16" s="18"/>
      <c r="D16" s="18"/>
      <c r="E16" s="18"/>
      <c r="F16" s="35"/>
      <c r="G16" s="19"/>
      <c r="H16" s="60"/>
      <c r="I16" s="19"/>
      <c r="J16" s="60"/>
      <c r="K16" s="19"/>
      <c r="L16" s="19"/>
      <c r="M16" s="19"/>
      <c r="N16" s="33"/>
    </row>
    <row r="17" spans="2:14" ht="12.75">
      <c r="B17" s="18" t="s">
        <v>34</v>
      </c>
      <c r="C17" s="18" t="s">
        <v>204</v>
      </c>
      <c r="D17" s="18" t="s">
        <v>21</v>
      </c>
      <c r="E17" s="18" t="s">
        <v>20</v>
      </c>
      <c r="F17" s="35" t="s">
        <v>25</v>
      </c>
      <c r="G17" s="19">
        <f>G11*(1/G22/60)*(1/0.0283)*(14/(21-G23))*667.8</f>
        <v>0.4216777535416713</v>
      </c>
      <c r="H17" s="60"/>
      <c r="I17" s="19">
        <f>I11*(1/I22/60)*(1/0.0283)*(14/(21-I23))*667.8</f>
        <v>0.5651645627539796</v>
      </c>
      <c r="J17" s="60" t="s">
        <v>25</v>
      </c>
      <c r="K17" s="19">
        <f>K11*(1/K22/60)*(1/0.0283)*(14/(21-K23))*667.8</f>
        <v>0.3890811682844436</v>
      </c>
      <c r="L17" s="45">
        <f>(G17+K17)/(3*M17)*100</f>
        <v>59.27919807941032</v>
      </c>
      <c r="M17" s="19">
        <f>M11*(1/M22/60)*(1/0.0283)*(14/(21-M23))*667.8</f>
        <v>0.4558984984581063</v>
      </c>
      <c r="N17" s="33"/>
    </row>
    <row r="18" spans="2:14" ht="12.75">
      <c r="B18" s="18" t="s">
        <v>35</v>
      </c>
      <c r="C18" s="18" t="s">
        <v>204</v>
      </c>
      <c r="D18" s="18" t="s">
        <v>21</v>
      </c>
      <c r="E18" s="18" t="s">
        <v>20</v>
      </c>
      <c r="F18" s="35" t="s">
        <v>25</v>
      </c>
      <c r="G18" s="19">
        <f>G12*(1/G22/60)*(1/0.0283)*(14/(21-G23))*343.4</f>
        <v>0.0510084609304951</v>
      </c>
      <c r="H18" s="60" t="s">
        <v>25</v>
      </c>
      <c r="I18" s="19">
        <f>I12*(1/I22/60)*(1/0.0283)*(14/(21-I23))*343.4</f>
        <v>0.04755636139419666</v>
      </c>
      <c r="J18" s="60"/>
      <c r="K18" s="19">
        <f>K12*(1/K22/60)*(1/0.0283)*(14/(21-K23))*343.4</f>
        <v>0.05317798344949114</v>
      </c>
      <c r="L18" s="45">
        <f>(G18+I18)/(3*M18)*100</f>
        <v>64.70996405524578</v>
      </c>
      <c r="M18" s="19">
        <f>M12*(1/M22/60)*(1/0.0283)*(14/(21-M23))*343.4</f>
        <v>0.05077261478131488</v>
      </c>
      <c r="N18" s="33"/>
    </row>
    <row r="19" spans="2:14" ht="12.75">
      <c r="B19" s="18" t="s">
        <v>120</v>
      </c>
      <c r="C19" s="18" t="s">
        <v>204</v>
      </c>
      <c r="D19" s="18" t="s">
        <v>21</v>
      </c>
      <c r="E19" s="18" t="s">
        <v>20</v>
      </c>
      <c r="F19" s="35">
        <v>100</v>
      </c>
      <c r="G19" s="19">
        <f>2*G18+G17</f>
        <v>0.5236946754026615</v>
      </c>
      <c r="H19" s="61">
        <f>(2*I18)/I19*100</f>
        <v>14.404966651285706</v>
      </c>
      <c r="I19" s="19">
        <f>2*I18+I17</f>
        <v>0.660277285542373</v>
      </c>
      <c r="J19" s="61">
        <f>K17/K19*100</f>
        <v>78.53290370339194</v>
      </c>
      <c r="K19" s="19">
        <f>2*K18+K17</f>
        <v>0.4954371351834259</v>
      </c>
      <c r="L19" s="45">
        <f>(F19*G19+H19*I19+J19*K19)/(3*M19)</f>
        <v>60.01447585338096</v>
      </c>
      <c r="M19" s="19">
        <f>AVERAGE(K19,I19,G19)</f>
        <v>0.5598030320428201</v>
      </c>
      <c r="N19" s="33"/>
    </row>
    <row r="20" spans="2:14" ht="12.75">
      <c r="B20" s="18"/>
      <c r="C20" s="18"/>
      <c r="D20" s="18"/>
      <c r="E20" s="18"/>
      <c r="F20" s="35"/>
      <c r="G20" s="33"/>
      <c r="H20" s="35"/>
      <c r="I20" s="34"/>
      <c r="J20" s="35"/>
      <c r="K20" s="43"/>
      <c r="L20" s="35"/>
      <c r="M20" s="40"/>
      <c r="N20" s="33"/>
    </row>
    <row r="21" spans="2:14" ht="12.75">
      <c r="B21" s="18" t="s">
        <v>121</v>
      </c>
      <c r="C21" s="18" t="s">
        <v>112</v>
      </c>
      <c r="D21" s="18" t="s">
        <v>204</v>
      </c>
      <c r="E21" s="18"/>
      <c r="F21" s="35"/>
      <c r="G21" s="33"/>
      <c r="H21" s="35"/>
      <c r="I21" s="34"/>
      <c r="J21" s="35"/>
      <c r="K21" s="43"/>
      <c r="L21" s="35"/>
      <c r="M21" s="40"/>
      <c r="N21" s="33"/>
    </row>
    <row r="22" spans="2:14" ht="12.75">
      <c r="B22" s="18" t="s">
        <v>109</v>
      </c>
      <c r="C22" s="18"/>
      <c r="D22" s="18" t="s">
        <v>22</v>
      </c>
      <c r="E22" s="18"/>
      <c r="F22" s="35"/>
      <c r="G22" s="41">
        <v>7925</v>
      </c>
      <c r="H22" s="35"/>
      <c r="I22" s="42">
        <v>8195</v>
      </c>
      <c r="J22" s="61"/>
      <c r="K22" s="46">
        <v>8627</v>
      </c>
      <c r="L22" s="35"/>
      <c r="M22" s="40">
        <f>AVERAGE(G22,I22,K22)</f>
        <v>8249</v>
      </c>
      <c r="N22" s="33"/>
    </row>
    <row r="23" spans="2:14" ht="12.75">
      <c r="B23" s="18" t="s">
        <v>116</v>
      </c>
      <c r="C23" s="18"/>
      <c r="D23" s="18" t="s">
        <v>23</v>
      </c>
      <c r="E23" s="18"/>
      <c r="F23" s="35"/>
      <c r="G23" s="41">
        <v>3.7</v>
      </c>
      <c r="H23" s="35"/>
      <c r="I23" s="42">
        <v>4</v>
      </c>
      <c r="J23" s="35"/>
      <c r="K23" s="40">
        <v>2.3</v>
      </c>
      <c r="L23" s="33"/>
      <c r="M23" s="40">
        <f>AVERAGE(G23,I23,K23)</f>
        <v>3.3333333333333335</v>
      </c>
      <c r="N23" s="33"/>
    </row>
    <row r="24" spans="2:14" ht="12.75">
      <c r="B24" s="18" t="s">
        <v>117</v>
      </c>
      <c r="C24" s="18"/>
      <c r="D24" s="18" t="s">
        <v>23</v>
      </c>
      <c r="E24" s="18"/>
      <c r="F24" s="35"/>
      <c r="G24" s="41"/>
      <c r="H24" s="35"/>
      <c r="I24" s="42"/>
      <c r="J24" s="35"/>
      <c r="K24" s="41"/>
      <c r="L24" s="33"/>
      <c r="M24" s="43"/>
      <c r="N24" s="33"/>
    </row>
    <row r="25" spans="2:14" ht="12.75">
      <c r="B25" s="18" t="s">
        <v>108</v>
      </c>
      <c r="C25" s="18"/>
      <c r="D25" s="18" t="s">
        <v>24</v>
      </c>
      <c r="E25" s="18"/>
      <c r="F25" s="35"/>
      <c r="G25" s="41"/>
      <c r="H25" s="35"/>
      <c r="I25" s="42"/>
      <c r="J25" s="35"/>
      <c r="K25" s="41"/>
      <c r="L25" s="33"/>
      <c r="M25" s="43"/>
      <c r="N25" s="33"/>
    </row>
    <row r="26" spans="2:14" ht="12.75">
      <c r="B26" s="18"/>
      <c r="C26" s="18"/>
      <c r="D26" s="18"/>
      <c r="E26" s="18"/>
      <c r="F26" s="35"/>
      <c r="G26" s="41"/>
      <c r="H26" s="35"/>
      <c r="I26" s="42"/>
      <c r="J26" s="35"/>
      <c r="K26" s="41"/>
      <c r="L26" s="33"/>
      <c r="M26" s="43"/>
      <c r="N26" s="33"/>
    </row>
    <row r="27" spans="2:14" ht="12.75">
      <c r="B27" s="18" t="s">
        <v>121</v>
      </c>
      <c r="C27" s="18" t="s">
        <v>113</v>
      </c>
      <c r="D27" s="18" t="s">
        <v>206</v>
      </c>
      <c r="E27" s="18"/>
      <c r="F27" s="35"/>
      <c r="G27" s="41"/>
      <c r="H27" s="35"/>
      <c r="I27" s="42"/>
      <c r="J27" s="35"/>
      <c r="K27" s="41"/>
      <c r="L27" s="33"/>
      <c r="M27" s="43"/>
      <c r="N27" s="33"/>
    </row>
    <row r="28" spans="2:14" ht="12.75">
      <c r="B28" s="18" t="s">
        <v>109</v>
      </c>
      <c r="C28" s="18"/>
      <c r="D28" s="18" t="s">
        <v>22</v>
      </c>
      <c r="E28" s="18"/>
      <c r="F28" s="35"/>
      <c r="G28" s="41">
        <v>7925</v>
      </c>
      <c r="H28" s="35"/>
      <c r="I28" s="42">
        <v>8195</v>
      </c>
      <c r="J28" s="35"/>
      <c r="K28" s="41">
        <v>8627</v>
      </c>
      <c r="L28" s="33"/>
      <c r="M28" s="46">
        <f>AVERAGE(G28,I28,K28)</f>
        <v>8249</v>
      </c>
      <c r="N28" s="33"/>
    </row>
    <row r="29" spans="2:14" ht="12.75">
      <c r="B29" s="18" t="s">
        <v>116</v>
      </c>
      <c r="C29" s="18"/>
      <c r="D29" s="18" t="s">
        <v>23</v>
      </c>
      <c r="E29" s="18"/>
      <c r="F29" s="35"/>
      <c r="G29" s="41"/>
      <c r="H29" s="35"/>
      <c r="I29" s="42"/>
      <c r="J29" s="35"/>
      <c r="K29" s="41"/>
      <c r="L29" s="33"/>
      <c r="M29" s="43"/>
      <c r="N29" s="33"/>
    </row>
    <row r="30" spans="2:14" ht="12.75">
      <c r="B30" s="18" t="s">
        <v>117</v>
      </c>
      <c r="C30" s="18"/>
      <c r="D30" s="18" t="s">
        <v>23</v>
      </c>
      <c r="E30" s="18"/>
      <c r="F30" s="35"/>
      <c r="G30" s="41"/>
      <c r="H30" s="35"/>
      <c r="I30" s="42"/>
      <c r="J30" s="35"/>
      <c r="K30" s="41"/>
      <c r="L30" s="33"/>
      <c r="M30" s="43"/>
      <c r="N30" s="33"/>
    </row>
    <row r="31" spans="2:14" ht="12.75">
      <c r="B31" s="18" t="s">
        <v>108</v>
      </c>
      <c r="C31" s="18"/>
      <c r="D31" s="18" t="s">
        <v>24</v>
      </c>
      <c r="E31" s="18"/>
      <c r="F31" s="35"/>
      <c r="G31" s="41"/>
      <c r="H31" s="35"/>
      <c r="I31" s="42"/>
      <c r="J31" s="35"/>
      <c r="K31" s="41"/>
      <c r="L31" s="33"/>
      <c r="M31" s="43"/>
      <c r="N31" s="33"/>
    </row>
    <row r="32" spans="2:14" ht="12.75">
      <c r="B32" s="18"/>
      <c r="C32" s="18"/>
      <c r="D32" s="18"/>
      <c r="E32" s="18"/>
      <c r="F32" s="35"/>
      <c r="G32" s="41"/>
      <c r="H32" s="35"/>
      <c r="I32" s="42"/>
      <c r="J32" s="35"/>
      <c r="K32" s="41"/>
      <c r="L32" s="33"/>
      <c r="M32" s="43"/>
      <c r="N32" s="33"/>
    </row>
    <row r="33" spans="1:14" ht="12.75">
      <c r="A33" s="3">
        <v>2</v>
      </c>
      <c r="B33" s="37" t="s">
        <v>90</v>
      </c>
      <c r="C33" s="37" t="s">
        <v>111</v>
      </c>
      <c r="D33" s="18"/>
      <c r="E33" s="18"/>
      <c r="F33" s="35"/>
      <c r="G33" s="35" t="s">
        <v>224</v>
      </c>
      <c r="H33" s="35"/>
      <c r="I33" s="36" t="s">
        <v>225</v>
      </c>
      <c r="J33" s="35"/>
      <c r="K33" s="35" t="s">
        <v>226</v>
      </c>
      <c r="L33" s="35"/>
      <c r="M33" s="35" t="s">
        <v>77</v>
      </c>
      <c r="N33" s="33"/>
    </row>
    <row r="34" spans="2:14" ht="12.75">
      <c r="B34" s="18"/>
      <c r="C34" s="18"/>
      <c r="D34" s="18"/>
      <c r="E34" s="18"/>
      <c r="F34" s="35"/>
      <c r="G34" s="41"/>
      <c r="H34" s="35"/>
      <c r="I34" s="42"/>
      <c r="J34" s="35"/>
      <c r="K34" s="41"/>
      <c r="L34" s="33"/>
      <c r="M34" s="43"/>
      <c r="N34" s="33"/>
    </row>
    <row r="35" spans="2:14" ht="12.75">
      <c r="B35" s="18" t="s">
        <v>119</v>
      </c>
      <c r="C35" s="18" t="s">
        <v>204</v>
      </c>
      <c r="D35" s="18" t="s">
        <v>21</v>
      </c>
      <c r="E35" s="18" t="s">
        <v>20</v>
      </c>
      <c r="F35" s="35"/>
      <c r="G35" s="41">
        <v>6.4</v>
      </c>
      <c r="H35" s="35"/>
      <c r="I35" s="42">
        <v>6.3</v>
      </c>
      <c r="J35" s="35"/>
      <c r="K35" s="41">
        <v>7.5</v>
      </c>
      <c r="L35" s="33"/>
      <c r="M35" s="40">
        <f>AVERAGE(G35,I35,K35)</f>
        <v>6.733333333333333</v>
      </c>
      <c r="N35" s="33"/>
    </row>
    <row r="36" spans="2:14" ht="12.75">
      <c r="B36" s="18" t="s">
        <v>118</v>
      </c>
      <c r="C36" s="18" t="s">
        <v>204</v>
      </c>
      <c r="D36" s="18" t="s">
        <v>21</v>
      </c>
      <c r="E36" s="18" t="s">
        <v>20</v>
      </c>
      <c r="F36" s="35"/>
      <c r="G36" s="28">
        <v>5.71</v>
      </c>
      <c r="H36" s="56"/>
      <c r="I36" s="38">
        <v>5.94</v>
      </c>
      <c r="J36" s="56"/>
      <c r="K36" s="28">
        <v>6.17</v>
      </c>
      <c r="L36" s="33"/>
      <c r="M36" s="40">
        <f>AVERAGE(G36,I36,K36)</f>
        <v>5.94</v>
      </c>
      <c r="N36" s="33"/>
    </row>
    <row r="37" spans="2:14" ht="12.75">
      <c r="B37" s="18"/>
      <c r="C37" s="18"/>
      <c r="D37" s="18"/>
      <c r="E37" s="18"/>
      <c r="F37" s="35"/>
      <c r="G37" s="41"/>
      <c r="H37" s="35"/>
      <c r="I37" s="42"/>
      <c r="J37" s="35"/>
      <c r="K37" s="41"/>
      <c r="L37" s="33"/>
      <c r="M37" s="40"/>
      <c r="N37" s="33"/>
    </row>
    <row r="38" spans="2:14" ht="12.75">
      <c r="B38" s="18" t="s">
        <v>53</v>
      </c>
      <c r="C38" s="18"/>
      <c r="D38" s="18"/>
      <c r="E38" s="18"/>
      <c r="F38" s="35"/>
      <c r="G38" s="41"/>
      <c r="H38" s="35"/>
      <c r="I38" s="42"/>
      <c r="J38" s="35"/>
      <c r="K38" s="41"/>
      <c r="L38" s="33"/>
      <c r="M38" s="40"/>
      <c r="N38" s="33"/>
    </row>
    <row r="39" spans="2:14" ht="12.75">
      <c r="B39" s="18" t="s">
        <v>114</v>
      </c>
      <c r="C39" s="18"/>
      <c r="D39" s="18" t="s">
        <v>42</v>
      </c>
      <c r="E39" s="18"/>
      <c r="F39" s="35"/>
      <c r="G39" s="41">
        <v>20</v>
      </c>
      <c r="H39" s="35"/>
      <c r="I39" s="42">
        <v>20</v>
      </c>
      <c r="J39" s="35"/>
      <c r="K39" s="41">
        <v>20</v>
      </c>
      <c r="L39" s="33"/>
      <c r="M39" s="40"/>
      <c r="N39" s="33"/>
    </row>
    <row r="40" spans="2:14" ht="12.75">
      <c r="B40" s="18" t="s">
        <v>115</v>
      </c>
      <c r="C40" s="18" t="s">
        <v>204</v>
      </c>
      <c r="D40" s="18" t="s">
        <v>42</v>
      </c>
      <c r="E40" s="18"/>
      <c r="F40" s="35" t="s">
        <v>25</v>
      </c>
      <c r="G40" s="47">
        <v>1.57E-06</v>
      </c>
      <c r="H40" s="35" t="s">
        <v>25</v>
      </c>
      <c r="I40" s="47">
        <v>1.05E-06</v>
      </c>
      <c r="J40" s="35" t="s">
        <v>25</v>
      </c>
      <c r="K40" s="47">
        <v>3.2E-06</v>
      </c>
      <c r="L40" s="35"/>
      <c r="M40" s="48"/>
      <c r="N40" s="33"/>
    </row>
    <row r="41" spans="2:14" ht="12.75">
      <c r="B41" s="18" t="s">
        <v>41</v>
      </c>
      <c r="C41" s="18" t="s">
        <v>204</v>
      </c>
      <c r="D41" s="18" t="s">
        <v>23</v>
      </c>
      <c r="E41" s="18"/>
      <c r="F41" s="35" t="s">
        <v>56</v>
      </c>
      <c r="G41" s="41">
        <v>99.999214</v>
      </c>
      <c r="H41" s="35"/>
      <c r="I41" s="42">
        <v>99.999948</v>
      </c>
      <c r="J41" s="35" t="s">
        <v>56</v>
      </c>
      <c r="K41" s="41">
        <v>99.999984</v>
      </c>
      <c r="L41" s="35"/>
      <c r="M41" s="49"/>
      <c r="N41" s="33"/>
    </row>
    <row r="42" spans="2:14" ht="12.75">
      <c r="B42" s="18"/>
      <c r="C42" s="18"/>
      <c r="D42" s="18"/>
      <c r="E42" s="18"/>
      <c r="F42" s="35"/>
      <c r="G42" s="41"/>
      <c r="H42" s="35"/>
      <c r="I42" s="42"/>
      <c r="J42" s="35"/>
      <c r="K42" s="41"/>
      <c r="L42" s="33"/>
      <c r="M42" s="43"/>
      <c r="N42" s="33"/>
    </row>
    <row r="43" spans="2:14" ht="12.75">
      <c r="B43" s="18" t="s">
        <v>121</v>
      </c>
      <c r="C43" s="18" t="s">
        <v>41</v>
      </c>
      <c r="D43" s="18" t="s">
        <v>204</v>
      </c>
      <c r="E43" s="18"/>
      <c r="F43" s="35"/>
      <c r="G43" s="41"/>
      <c r="H43" s="35"/>
      <c r="I43" s="42"/>
      <c r="J43" s="35"/>
      <c r="K43" s="41"/>
      <c r="L43" s="33"/>
      <c r="M43" s="43"/>
      <c r="N43" s="33"/>
    </row>
    <row r="44" spans="2:14" ht="12.75">
      <c r="B44" s="18" t="s">
        <v>109</v>
      </c>
      <c r="C44" s="18"/>
      <c r="D44" s="18" t="s">
        <v>22</v>
      </c>
      <c r="E44" s="18"/>
      <c r="F44" s="35"/>
      <c r="G44" s="41">
        <v>10745</v>
      </c>
      <c r="H44" s="35"/>
      <c r="I44" s="42">
        <v>11197</v>
      </c>
      <c r="J44" s="35"/>
      <c r="K44" s="41">
        <v>11097</v>
      </c>
      <c r="L44" s="33"/>
      <c r="M44" s="46">
        <f>AVERAGE(G44,I44,K44)</f>
        <v>11013</v>
      </c>
      <c r="N44" s="33"/>
    </row>
    <row r="45" spans="2:14" ht="12.75">
      <c r="B45" s="18" t="s">
        <v>116</v>
      </c>
      <c r="C45" s="18"/>
      <c r="D45" s="18" t="s">
        <v>23</v>
      </c>
      <c r="E45" s="18"/>
      <c r="F45" s="35"/>
      <c r="G45" s="41"/>
      <c r="H45" s="35"/>
      <c r="I45" s="42"/>
      <c r="J45" s="35"/>
      <c r="K45" s="41"/>
      <c r="L45" s="33"/>
      <c r="M45" s="40"/>
      <c r="N45" s="33"/>
    </row>
    <row r="46" spans="2:14" ht="12.75">
      <c r="B46" s="18" t="s">
        <v>117</v>
      </c>
      <c r="C46" s="18"/>
      <c r="D46" s="18" t="s">
        <v>23</v>
      </c>
      <c r="E46" s="18"/>
      <c r="F46" s="35"/>
      <c r="G46" s="41"/>
      <c r="H46" s="35"/>
      <c r="I46" s="42"/>
      <c r="J46" s="35"/>
      <c r="K46" s="41"/>
      <c r="L46" s="33"/>
      <c r="M46" s="40"/>
      <c r="N46" s="33"/>
    </row>
    <row r="47" spans="2:14" ht="12.75">
      <c r="B47" s="18" t="s">
        <v>108</v>
      </c>
      <c r="C47" s="18"/>
      <c r="D47" s="18" t="s">
        <v>24</v>
      </c>
      <c r="E47" s="18"/>
      <c r="F47" s="35"/>
      <c r="G47" s="41"/>
      <c r="H47" s="35"/>
      <c r="I47" s="42"/>
      <c r="J47" s="35"/>
      <c r="K47" s="41"/>
      <c r="L47" s="33"/>
      <c r="M47" s="40"/>
      <c r="N47" s="33"/>
    </row>
    <row r="48" spans="2:14" ht="12.75">
      <c r="B48" s="18"/>
      <c r="C48" s="18"/>
      <c r="D48" s="18"/>
      <c r="E48" s="18"/>
      <c r="F48" s="35"/>
      <c r="G48" s="41"/>
      <c r="H48" s="35"/>
      <c r="I48" s="42"/>
      <c r="J48" s="35"/>
      <c r="K48" s="41"/>
      <c r="L48" s="33"/>
      <c r="M48" s="43"/>
      <c r="N48" s="33"/>
    </row>
    <row r="49" spans="1:14" ht="12.75">
      <c r="A49" s="3">
        <v>3</v>
      </c>
      <c r="B49" s="37" t="s">
        <v>181</v>
      </c>
      <c r="C49" s="37" t="s">
        <v>142</v>
      </c>
      <c r="D49" s="18"/>
      <c r="E49" s="18"/>
      <c r="F49" s="35"/>
      <c r="G49" s="35" t="s">
        <v>224</v>
      </c>
      <c r="H49" s="35"/>
      <c r="I49" s="36" t="s">
        <v>225</v>
      </c>
      <c r="J49" s="35"/>
      <c r="K49" s="35" t="s">
        <v>226</v>
      </c>
      <c r="L49" s="35"/>
      <c r="M49" s="35" t="s">
        <v>77</v>
      </c>
      <c r="N49" s="33"/>
    </row>
    <row r="50" spans="2:14" ht="12.75">
      <c r="B50" s="37"/>
      <c r="C50" s="37"/>
      <c r="D50" s="18"/>
      <c r="E50" s="18"/>
      <c r="F50" s="35"/>
      <c r="G50" s="41"/>
      <c r="H50" s="35"/>
      <c r="I50" s="42"/>
      <c r="J50" s="35"/>
      <c r="K50" s="41"/>
      <c r="L50" s="33"/>
      <c r="M50" s="43"/>
      <c r="N50" s="33"/>
    </row>
    <row r="51" spans="2:14" ht="12.75">
      <c r="B51" s="18" t="s">
        <v>119</v>
      </c>
      <c r="C51" s="18" t="s">
        <v>204</v>
      </c>
      <c r="D51" s="18" t="s">
        <v>21</v>
      </c>
      <c r="E51" s="18" t="s">
        <v>20</v>
      </c>
      <c r="F51" s="35"/>
      <c r="G51" s="41">
        <v>4.67</v>
      </c>
      <c r="H51" s="35"/>
      <c r="I51" s="42">
        <v>2.2</v>
      </c>
      <c r="J51" s="35"/>
      <c r="K51" s="41">
        <v>2.47</v>
      </c>
      <c r="L51" s="33"/>
      <c r="M51" s="43">
        <f>AVERAGE(G51,I51,K51)</f>
        <v>3.1133333333333333</v>
      </c>
      <c r="N51" s="33"/>
    </row>
    <row r="52" spans="2:14" ht="12.75">
      <c r="B52" s="18" t="s">
        <v>127</v>
      </c>
      <c r="C52" s="37"/>
      <c r="D52" s="18" t="s">
        <v>27</v>
      </c>
      <c r="E52" s="18"/>
      <c r="F52" s="35" t="s">
        <v>25</v>
      </c>
      <c r="G52" s="41">
        <v>0.0038</v>
      </c>
      <c r="H52" s="35" t="s">
        <v>25</v>
      </c>
      <c r="I52" s="42">
        <v>0.0037</v>
      </c>
      <c r="J52" s="35" t="s">
        <v>25</v>
      </c>
      <c r="K52" s="41">
        <v>0.008</v>
      </c>
      <c r="L52" s="35" t="s">
        <v>25</v>
      </c>
      <c r="M52" s="43">
        <f>AVERAGE(G52,I52,K52)</f>
        <v>0.005166666666666667</v>
      </c>
      <c r="N52" s="33"/>
    </row>
    <row r="53" spans="2:14" ht="12.75">
      <c r="B53" s="18" t="s">
        <v>122</v>
      </c>
      <c r="C53" s="37"/>
      <c r="D53" s="18" t="s">
        <v>27</v>
      </c>
      <c r="E53" s="18"/>
      <c r="F53" s="35" t="s">
        <v>25</v>
      </c>
      <c r="G53" s="41">
        <v>0.0029</v>
      </c>
      <c r="H53" s="35" t="s">
        <v>25</v>
      </c>
      <c r="I53" s="42">
        <v>0.0028</v>
      </c>
      <c r="J53" s="35" t="s">
        <v>25</v>
      </c>
      <c r="K53" s="41">
        <v>0.0028</v>
      </c>
      <c r="L53" s="35" t="s">
        <v>25</v>
      </c>
      <c r="M53" s="43">
        <f aca="true" t="shared" si="0" ref="M53:M68">AVERAGE(G53,I53,K53)</f>
        <v>0.0028333333333333335</v>
      </c>
      <c r="N53" s="33"/>
    </row>
    <row r="54" spans="2:14" ht="12.75">
      <c r="B54" s="18" t="s">
        <v>123</v>
      </c>
      <c r="C54" s="37"/>
      <c r="D54" s="18" t="s">
        <v>27</v>
      </c>
      <c r="E54" s="18"/>
      <c r="F54" s="35"/>
      <c r="G54" s="41">
        <v>0.00173</v>
      </c>
      <c r="H54" s="35"/>
      <c r="I54" s="42">
        <v>0.00628</v>
      </c>
      <c r="J54" s="35"/>
      <c r="K54" s="41">
        <v>0.0388</v>
      </c>
      <c r="L54" s="35"/>
      <c r="M54" s="43">
        <f t="shared" si="0"/>
        <v>0.015603333333333335</v>
      </c>
      <c r="N54" s="33"/>
    </row>
    <row r="55" spans="2:14" ht="12.75">
      <c r="B55" s="18" t="s">
        <v>124</v>
      </c>
      <c r="C55" s="37"/>
      <c r="D55" s="18" t="s">
        <v>27</v>
      </c>
      <c r="E55" s="18"/>
      <c r="F55" s="35" t="s">
        <v>25</v>
      </c>
      <c r="G55" s="41">
        <v>0.00016</v>
      </c>
      <c r="H55" s="35" t="s">
        <v>25</v>
      </c>
      <c r="I55" s="42">
        <v>0.00017</v>
      </c>
      <c r="J55" s="35" t="s">
        <v>25</v>
      </c>
      <c r="K55" s="41">
        <v>0.00014</v>
      </c>
      <c r="L55" s="35" t="s">
        <v>25</v>
      </c>
      <c r="M55" s="43">
        <f t="shared" si="0"/>
        <v>0.00015666666666666666</v>
      </c>
      <c r="N55" s="33"/>
    </row>
    <row r="56" spans="2:14" ht="12.75">
      <c r="B56" s="18" t="s">
        <v>130</v>
      </c>
      <c r="C56" s="37"/>
      <c r="D56" s="18" t="s">
        <v>27</v>
      </c>
      <c r="E56" s="18"/>
      <c r="F56" s="35" t="s">
        <v>25</v>
      </c>
      <c r="G56" s="41">
        <v>0.0029</v>
      </c>
      <c r="H56" s="35" t="s">
        <v>25</v>
      </c>
      <c r="I56" s="42">
        <v>0.003</v>
      </c>
      <c r="J56" s="35" t="s">
        <v>25</v>
      </c>
      <c r="K56" s="41">
        <v>0.00714</v>
      </c>
      <c r="L56" s="35" t="s">
        <v>25</v>
      </c>
      <c r="M56" s="43">
        <f t="shared" si="0"/>
        <v>0.004346666666666666</v>
      </c>
      <c r="N56" s="33"/>
    </row>
    <row r="57" spans="2:14" ht="12.75">
      <c r="B57" s="18" t="s">
        <v>132</v>
      </c>
      <c r="C57" s="37"/>
      <c r="D57" s="18" t="s">
        <v>27</v>
      </c>
      <c r="E57" s="18"/>
      <c r="F57" s="35"/>
      <c r="G57" s="41">
        <v>0.534</v>
      </c>
      <c r="H57" s="35"/>
      <c r="I57" s="42">
        <v>0.579</v>
      </c>
      <c r="J57" s="35"/>
      <c r="K57" s="41">
        <v>0.495</v>
      </c>
      <c r="L57" s="35"/>
      <c r="M57" s="43">
        <f t="shared" si="0"/>
        <v>0.536</v>
      </c>
      <c r="N57" s="33"/>
    </row>
    <row r="58" spans="2:14" ht="12.75">
      <c r="B58" s="18" t="s">
        <v>207</v>
      </c>
      <c r="C58" s="37"/>
      <c r="D58" s="18" t="s">
        <v>27</v>
      </c>
      <c r="E58" s="18"/>
      <c r="F58" s="35" t="s">
        <v>25</v>
      </c>
      <c r="G58" s="41">
        <v>0.24</v>
      </c>
      <c r="H58" s="35" t="s">
        <v>25</v>
      </c>
      <c r="I58" s="42">
        <v>0.25</v>
      </c>
      <c r="J58" s="35" t="s">
        <v>25</v>
      </c>
      <c r="K58" s="41">
        <v>0.23</v>
      </c>
      <c r="L58" s="35" t="s">
        <v>25</v>
      </c>
      <c r="M58" s="43">
        <f t="shared" si="0"/>
        <v>0.24</v>
      </c>
      <c r="N58" s="33"/>
    </row>
    <row r="59" spans="2:14" ht="12.75">
      <c r="B59" s="18" t="s">
        <v>208</v>
      </c>
      <c r="C59" s="37"/>
      <c r="D59" s="18" t="s">
        <v>27</v>
      </c>
      <c r="E59" s="18"/>
      <c r="F59" s="35"/>
      <c r="G59" s="41">
        <v>0.172</v>
      </c>
      <c r="H59" s="35"/>
      <c r="I59" s="42">
        <v>0.0757</v>
      </c>
      <c r="J59" s="35"/>
      <c r="K59" s="41">
        <v>0.101</v>
      </c>
      <c r="L59" s="35"/>
      <c r="M59" s="43">
        <f t="shared" si="0"/>
        <v>0.11623333333333334</v>
      </c>
      <c r="N59" s="33"/>
    </row>
    <row r="60" spans="2:14" ht="12.75">
      <c r="B60" s="18" t="s">
        <v>128</v>
      </c>
      <c r="C60" s="37"/>
      <c r="D60" s="18" t="s">
        <v>27</v>
      </c>
      <c r="E60" s="18"/>
      <c r="F60" s="35"/>
      <c r="G60" s="41">
        <v>0.0232</v>
      </c>
      <c r="H60" s="35"/>
      <c r="I60" s="42">
        <v>0.0194</v>
      </c>
      <c r="J60" s="35"/>
      <c r="K60" s="41">
        <v>0.0193</v>
      </c>
      <c r="L60" s="35"/>
      <c r="M60" s="43">
        <f t="shared" si="0"/>
        <v>0.020633333333333333</v>
      </c>
      <c r="N60" s="33"/>
    </row>
    <row r="61" spans="2:14" ht="12.75">
      <c r="B61" s="18" t="s">
        <v>209</v>
      </c>
      <c r="C61" s="37"/>
      <c r="D61" s="18" t="s">
        <v>27</v>
      </c>
      <c r="E61" s="18"/>
      <c r="F61" s="35"/>
      <c r="G61" s="41">
        <v>0</v>
      </c>
      <c r="H61" s="35"/>
      <c r="I61" s="42">
        <v>1.43</v>
      </c>
      <c r="J61" s="35"/>
      <c r="K61" s="41">
        <v>0.883</v>
      </c>
      <c r="L61" s="35"/>
      <c r="M61" s="43">
        <f t="shared" si="0"/>
        <v>0.7709999999999999</v>
      </c>
      <c r="N61" s="33"/>
    </row>
    <row r="62" spans="2:14" ht="12.75">
      <c r="B62" s="18" t="s">
        <v>137</v>
      </c>
      <c r="C62" s="37"/>
      <c r="D62" s="18" t="s">
        <v>27</v>
      </c>
      <c r="E62" s="18"/>
      <c r="F62" s="35" t="s">
        <v>25</v>
      </c>
      <c r="G62" s="41">
        <v>0.0013</v>
      </c>
      <c r="H62" s="35" t="s">
        <v>25</v>
      </c>
      <c r="I62" s="42">
        <v>0.0015</v>
      </c>
      <c r="J62" s="35" t="s">
        <v>25</v>
      </c>
      <c r="K62" s="41">
        <v>0.0014</v>
      </c>
      <c r="L62" s="35" t="s">
        <v>25</v>
      </c>
      <c r="M62" s="43">
        <f t="shared" si="0"/>
        <v>0.0014</v>
      </c>
      <c r="N62" s="33"/>
    </row>
    <row r="63" spans="2:14" ht="12.75">
      <c r="B63" s="18" t="s">
        <v>212</v>
      </c>
      <c r="C63" s="37"/>
      <c r="D63" s="18" t="s">
        <v>27</v>
      </c>
      <c r="E63" s="18"/>
      <c r="F63" s="35" t="s">
        <v>25</v>
      </c>
      <c r="G63" s="41">
        <v>0.16</v>
      </c>
      <c r="H63" s="35" t="s">
        <v>25</v>
      </c>
      <c r="I63" s="42">
        <v>0.15</v>
      </c>
      <c r="J63" s="35" t="s">
        <v>25</v>
      </c>
      <c r="K63" s="41">
        <v>0.161</v>
      </c>
      <c r="L63" s="35" t="s">
        <v>25</v>
      </c>
      <c r="M63" s="43">
        <f t="shared" si="0"/>
        <v>0.157</v>
      </c>
      <c r="N63" s="33"/>
    </row>
    <row r="64" spans="2:14" ht="12.75">
      <c r="B64" s="18" t="s">
        <v>129</v>
      </c>
      <c r="C64" s="37"/>
      <c r="D64" s="18" t="s">
        <v>27</v>
      </c>
      <c r="E64" s="18"/>
      <c r="F64" s="35"/>
      <c r="G64" s="41">
        <v>15.7</v>
      </c>
      <c r="H64" s="35" t="s">
        <v>25</v>
      </c>
      <c r="I64" s="42">
        <v>17</v>
      </c>
      <c r="J64" s="35"/>
      <c r="K64" s="41">
        <v>14.3</v>
      </c>
      <c r="L64" s="35"/>
      <c r="M64" s="43">
        <f t="shared" si="0"/>
        <v>15.666666666666666</v>
      </c>
      <c r="N64" s="33"/>
    </row>
    <row r="65" spans="2:14" ht="12.75">
      <c r="B65" s="18" t="s">
        <v>210</v>
      </c>
      <c r="C65" s="37"/>
      <c r="D65" s="18" t="s">
        <v>27</v>
      </c>
      <c r="E65" s="18"/>
      <c r="F65" s="35" t="s">
        <v>25</v>
      </c>
      <c r="G65" s="41">
        <v>0.0025</v>
      </c>
      <c r="H65" s="35" t="s">
        <v>25</v>
      </c>
      <c r="I65" s="42">
        <v>0.0037</v>
      </c>
      <c r="J65" s="35" t="s">
        <v>25</v>
      </c>
      <c r="K65" s="41">
        <v>0.0025</v>
      </c>
      <c r="L65" s="35" t="s">
        <v>25</v>
      </c>
      <c r="M65" s="43">
        <f t="shared" si="0"/>
        <v>0.0029000000000000002</v>
      </c>
      <c r="N65" s="33"/>
    </row>
    <row r="66" spans="2:14" ht="12.75">
      <c r="B66" s="18" t="s">
        <v>131</v>
      </c>
      <c r="C66" s="37"/>
      <c r="D66" s="18" t="s">
        <v>27</v>
      </c>
      <c r="E66" s="18"/>
      <c r="F66" s="35" t="s">
        <v>25</v>
      </c>
      <c r="G66" s="41">
        <v>0.0017</v>
      </c>
      <c r="H66" s="35" t="s">
        <v>25</v>
      </c>
      <c r="I66" s="42">
        <v>0.0017</v>
      </c>
      <c r="J66" s="35" t="s">
        <v>25</v>
      </c>
      <c r="K66" s="41">
        <v>0.0017</v>
      </c>
      <c r="L66" s="35" t="s">
        <v>25</v>
      </c>
      <c r="M66" s="43">
        <f t="shared" si="0"/>
        <v>0.0017</v>
      </c>
      <c r="N66" s="33"/>
    </row>
    <row r="67" spans="2:14" ht="12.75">
      <c r="B67" s="18" t="s">
        <v>126</v>
      </c>
      <c r="C67" s="37"/>
      <c r="D67" s="18" t="s">
        <v>27</v>
      </c>
      <c r="E67" s="18"/>
      <c r="F67" s="35" t="s">
        <v>25</v>
      </c>
      <c r="G67" s="41">
        <v>0.014</v>
      </c>
      <c r="H67" s="35" t="s">
        <v>25</v>
      </c>
      <c r="I67" s="42">
        <v>0.011</v>
      </c>
      <c r="J67" s="35" t="s">
        <v>25</v>
      </c>
      <c r="K67" s="41">
        <v>0.015</v>
      </c>
      <c r="L67" s="35" t="s">
        <v>25</v>
      </c>
      <c r="M67" s="43">
        <f t="shared" si="0"/>
        <v>0.013333333333333334</v>
      </c>
      <c r="N67" s="33"/>
    </row>
    <row r="68" spans="2:14" ht="12.75">
      <c r="B68" s="18" t="s">
        <v>211</v>
      </c>
      <c r="C68" s="37"/>
      <c r="D68" s="18" t="s">
        <v>27</v>
      </c>
      <c r="E68" s="18"/>
      <c r="F68" s="35" t="s">
        <v>25</v>
      </c>
      <c r="G68" s="41">
        <v>0.012</v>
      </c>
      <c r="H68" s="35" t="s">
        <v>25</v>
      </c>
      <c r="I68" s="42">
        <v>0.0082</v>
      </c>
      <c r="J68" s="35" t="s">
        <v>25</v>
      </c>
      <c r="K68" s="41">
        <v>0.0054</v>
      </c>
      <c r="L68" s="35"/>
      <c r="M68" s="43">
        <f t="shared" si="0"/>
        <v>0.008533333333333335</v>
      </c>
      <c r="N68" s="33"/>
    </row>
    <row r="69" spans="2:14" ht="12.75">
      <c r="B69" s="18"/>
      <c r="C69" s="37"/>
      <c r="D69" s="18"/>
      <c r="E69" s="18"/>
      <c r="F69" s="35"/>
      <c r="G69" s="41"/>
      <c r="H69" s="35"/>
      <c r="I69" s="42"/>
      <c r="J69" s="35"/>
      <c r="K69" s="41"/>
      <c r="L69" s="35"/>
      <c r="M69" s="43"/>
      <c r="N69" s="33"/>
    </row>
    <row r="70" spans="2:14" ht="12.75">
      <c r="B70" s="18" t="s">
        <v>121</v>
      </c>
      <c r="C70" s="18" t="s">
        <v>183</v>
      </c>
      <c r="D70" s="18" t="s">
        <v>204</v>
      </c>
      <c r="E70" s="18"/>
      <c r="F70" s="35"/>
      <c r="G70" s="41"/>
      <c r="H70" s="35"/>
      <c r="I70" s="42"/>
      <c r="J70" s="35"/>
      <c r="K70" s="41"/>
      <c r="L70" s="35"/>
      <c r="M70" s="43"/>
      <c r="N70" s="33"/>
    </row>
    <row r="71" spans="2:14" ht="12.75">
      <c r="B71" s="18" t="s">
        <v>109</v>
      </c>
      <c r="C71" s="18"/>
      <c r="D71" s="18" t="s">
        <v>22</v>
      </c>
      <c r="E71" s="18"/>
      <c r="F71" s="35"/>
      <c r="G71" s="41">
        <v>8646</v>
      </c>
      <c r="H71" s="35"/>
      <c r="I71" s="42">
        <v>8274</v>
      </c>
      <c r="J71" s="35"/>
      <c r="K71" s="41">
        <v>8180</v>
      </c>
      <c r="L71" s="35"/>
      <c r="M71" s="46">
        <f>AVERAGE(G71,I71,K71)</f>
        <v>8366.666666666666</v>
      </c>
      <c r="N71" s="33"/>
    </row>
    <row r="72" spans="2:14" ht="12.75">
      <c r="B72" s="18" t="s">
        <v>116</v>
      </c>
      <c r="C72" s="18"/>
      <c r="D72" s="18" t="s">
        <v>23</v>
      </c>
      <c r="E72" s="18"/>
      <c r="F72" s="35"/>
      <c r="G72" s="41"/>
      <c r="H72" s="35"/>
      <c r="I72" s="42"/>
      <c r="J72" s="35"/>
      <c r="K72" s="41"/>
      <c r="L72" s="35"/>
      <c r="M72" s="43"/>
      <c r="N72" s="33"/>
    </row>
    <row r="73" spans="2:14" ht="12.75">
      <c r="B73" s="18" t="s">
        <v>117</v>
      </c>
      <c r="C73" s="18"/>
      <c r="D73" s="18" t="s">
        <v>23</v>
      </c>
      <c r="E73" s="18"/>
      <c r="F73" s="35"/>
      <c r="G73" s="41"/>
      <c r="H73" s="35"/>
      <c r="I73" s="42"/>
      <c r="J73" s="35"/>
      <c r="K73" s="41"/>
      <c r="L73" s="33"/>
      <c r="M73" s="43"/>
      <c r="N73" s="33"/>
    </row>
    <row r="74" spans="2:14" ht="12.75">
      <c r="B74" s="18" t="s">
        <v>108</v>
      </c>
      <c r="C74" s="18"/>
      <c r="D74" s="18" t="s">
        <v>24</v>
      </c>
      <c r="E74" s="18"/>
      <c r="F74" s="35"/>
      <c r="G74" s="41"/>
      <c r="H74" s="35"/>
      <c r="I74" s="42"/>
      <c r="J74" s="35"/>
      <c r="K74" s="41"/>
      <c r="L74" s="33"/>
      <c r="M74" s="43"/>
      <c r="N74" s="33"/>
    </row>
    <row r="75" spans="2:14" ht="12.75">
      <c r="B75" s="18"/>
      <c r="C75" s="37"/>
      <c r="D75" s="18"/>
      <c r="E75" s="18"/>
      <c r="F75" s="35"/>
      <c r="G75" s="41"/>
      <c r="H75" s="35"/>
      <c r="I75" s="42"/>
      <c r="J75" s="35"/>
      <c r="K75" s="41"/>
      <c r="L75" s="33"/>
      <c r="M75" s="43"/>
      <c r="N75" s="33"/>
    </row>
    <row r="76" spans="2:14" ht="12.75">
      <c r="B76" s="18" t="s">
        <v>121</v>
      </c>
      <c r="C76" s="18" t="s">
        <v>141</v>
      </c>
      <c r="D76" s="18" t="s">
        <v>206</v>
      </c>
      <c r="E76" s="28"/>
      <c r="F76" s="56"/>
      <c r="G76" s="28"/>
      <c r="H76" s="56"/>
      <c r="I76" s="38"/>
      <c r="J76" s="56"/>
      <c r="K76" s="28"/>
      <c r="L76" s="35"/>
      <c r="M76" s="43"/>
      <c r="N76" s="33"/>
    </row>
    <row r="77" spans="2:14" ht="12.75">
      <c r="B77" s="18" t="s">
        <v>109</v>
      </c>
      <c r="C77" s="18"/>
      <c r="D77" s="18" t="s">
        <v>22</v>
      </c>
      <c r="E77" s="18"/>
      <c r="F77" s="35"/>
      <c r="G77" s="41">
        <v>8215</v>
      </c>
      <c r="H77" s="35"/>
      <c r="I77" s="42">
        <v>8628</v>
      </c>
      <c r="J77" s="35"/>
      <c r="K77" s="41">
        <v>8318</v>
      </c>
      <c r="L77" s="35"/>
      <c r="M77" s="46">
        <f>AVERAGE(G77,I77,K77)</f>
        <v>8387</v>
      </c>
      <c r="N77" s="33"/>
    </row>
    <row r="78" spans="2:14" ht="12.75">
      <c r="B78" s="18" t="s">
        <v>116</v>
      </c>
      <c r="C78" s="18"/>
      <c r="D78" s="18" t="s">
        <v>23</v>
      </c>
      <c r="E78" s="18"/>
      <c r="F78" s="35"/>
      <c r="G78" s="41">
        <v>2.8</v>
      </c>
      <c r="H78" s="35"/>
      <c r="I78" s="42">
        <v>2.9</v>
      </c>
      <c r="J78" s="35"/>
      <c r="K78" s="41">
        <v>2.9</v>
      </c>
      <c r="L78" s="35"/>
      <c r="M78" s="43">
        <f>AVERAGE(G78,I78,K78)</f>
        <v>2.8666666666666667</v>
      </c>
      <c r="N78" s="33"/>
    </row>
    <row r="79" spans="2:14" ht="12.75">
      <c r="B79" s="18" t="s">
        <v>117</v>
      </c>
      <c r="C79" s="18"/>
      <c r="D79" s="18" t="s">
        <v>23</v>
      </c>
      <c r="E79" s="18"/>
      <c r="F79" s="35"/>
      <c r="G79" s="41"/>
      <c r="H79" s="35"/>
      <c r="I79" s="42"/>
      <c r="J79" s="35"/>
      <c r="K79" s="41"/>
      <c r="L79" s="41"/>
      <c r="M79" s="39"/>
      <c r="N79" s="33"/>
    </row>
    <row r="80" spans="2:14" ht="12.75">
      <c r="B80" s="18" t="s">
        <v>108</v>
      </c>
      <c r="C80" s="18"/>
      <c r="D80" s="18" t="s">
        <v>24</v>
      </c>
      <c r="E80" s="18"/>
      <c r="F80" s="35"/>
      <c r="G80" s="33"/>
      <c r="H80" s="35"/>
      <c r="I80" s="42"/>
      <c r="J80" s="35"/>
      <c r="K80" s="41"/>
      <c r="L80" s="41"/>
      <c r="M80" s="44"/>
      <c r="N80" s="33"/>
    </row>
    <row r="81" spans="2:14" ht="12.75">
      <c r="B81" s="18"/>
      <c r="C81" s="18"/>
      <c r="D81" s="18"/>
      <c r="E81" s="18"/>
      <c r="F81" s="35"/>
      <c r="G81" s="45"/>
      <c r="H81" s="35"/>
      <c r="I81" s="34"/>
      <c r="J81" s="35"/>
      <c r="K81" s="33"/>
      <c r="L81" s="33"/>
      <c r="M81" s="39"/>
      <c r="N81" s="33"/>
    </row>
    <row r="82" spans="2:13" ht="12.75">
      <c r="B82" s="18" t="s">
        <v>127</v>
      </c>
      <c r="C82" s="3" t="s">
        <v>204</v>
      </c>
      <c r="D82" s="18" t="s">
        <v>68</v>
      </c>
      <c r="E82" s="18" t="s">
        <v>20</v>
      </c>
      <c r="F82" s="35" t="s">
        <v>25</v>
      </c>
      <c r="G82" s="20">
        <f aca="true" t="shared" si="1" ref="G82:G98">G52/G$71/60/0.0283*1000000*(21-7)/(21-G$78)</f>
        <v>0.19910736604826643</v>
      </c>
      <c r="H82" s="35" t="s">
        <v>25</v>
      </c>
      <c r="I82" s="20">
        <f aca="true" t="shared" si="2" ref="I82:I98">I52/I$71/60/0.0283*1000000*(21-7)/(21-I$78)</f>
        <v>0.20370326142905504</v>
      </c>
      <c r="J82" s="35" t="s">
        <v>25</v>
      </c>
      <c r="K82" s="20">
        <f aca="true" t="shared" si="3" ref="K82:K98">K52/K$71/60/0.0283*1000000*(21-7)/(21-K$78)</f>
        <v>0.44550076919685483</v>
      </c>
      <c r="L82" s="35">
        <v>100</v>
      </c>
      <c r="M82" s="20">
        <f>AVERAGE(G82,I82,K82)/2</f>
        <v>0.14138523277902937</v>
      </c>
    </row>
    <row r="83" spans="2:13" ht="12.75">
      <c r="B83" s="18" t="s">
        <v>122</v>
      </c>
      <c r="C83" s="3" t="s">
        <v>204</v>
      </c>
      <c r="D83" s="18" t="s">
        <v>68</v>
      </c>
      <c r="E83" s="18" t="s">
        <v>20</v>
      </c>
      <c r="F83" s="35" t="s">
        <v>25</v>
      </c>
      <c r="G83" s="20">
        <f t="shared" si="1"/>
        <v>0.15195035829999282</v>
      </c>
      <c r="H83" s="35" t="s">
        <v>25</v>
      </c>
      <c r="I83" s="20">
        <f t="shared" si="2"/>
        <v>0.1541538194598254</v>
      </c>
      <c r="J83" s="35" t="s">
        <v>25</v>
      </c>
      <c r="K83" s="20">
        <f t="shared" si="3"/>
        <v>0.1559252692188992</v>
      </c>
      <c r="L83" s="35">
        <v>100</v>
      </c>
      <c r="M83" s="20">
        <f>AVERAGE(G83,I83,K83)</f>
        <v>0.15400981565957247</v>
      </c>
    </row>
    <row r="84" spans="2:13" ht="12.75">
      <c r="B84" s="18" t="s">
        <v>123</v>
      </c>
      <c r="C84" s="3" t="s">
        <v>204</v>
      </c>
      <c r="D84" s="18" t="s">
        <v>68</v>
      </c>
      <c r="E84" s="18" t="s">
        <v>20</v>
      </c>
      <c r="F84" s="35"/>
      <c r="G84" s="20">
        <f t="shared" si="1"/>
        <v>0.0906462482272371</v>
      </c>
      <c r="H84" s="35"/>
      <c r="I84" s="20">
        <f t="shared" si="2"/>
        <v>0.34574499507417983</v>
      </c>
      <c r="J84" s="35"/>
      <c r="K84" s="20">
        <f t="shared" si="3"/>
        <v>2.160678730604746</v>
      </c>
      <c r="L84" s="35"/>
      <c r="M84" s="20">
        <f aca="true" t="shared" si="4" ref="M84:M100">AVERAGE(G84,I84,K84)</f>
        <v>0.8656899913020543</v>
      </c>
    </row>
    <row r="85" spans="2:13" ht="12.75">
      <c r="B85" s="18" t="s">
        <v>124</v>
      </c>
      <c r="C85" s="3" t="s">
        <v>204</v>
      </c>
      <c r="D85" s="18" t="s">
        <v>68</v>
      </c>
      <c r="E85" s="18" t="s">
        <v>20</v>
      </c>
      <c r="F85" s="35" t="s">
        <v>25</v>
      </c>
      <c r="G85" s="20">
        <f t="shared" si="1"/>
        <v>0.008383468044137535</v>
      </c>
      <c r="H85" s="35" t="s">
        <v>25</v>
      </c>
      <c r="I85" s="20">
        <f t="shared" si="2"/>
        <v>0.009359339038632257</v>
      </c>
      <c r="J85" s="35" t="s">
        <v>25</v>
      </c>
      <c r="K85" s="20">
        <f t="shared" si="3"/>
        <v>0.00779626346094496</v>
      </c>
      <c r="L85" s="35">
        <v>100</v>
      </c>
      <c r="M85" s="20">
        <f>AVERAGE(G85,I85,K85)</f>
        <v>0.008513023514571583</v>
      </c>
    </row>
    <row r="86" spans="2:13" ht="12.75">
      <c r="B86" s="18" t="s">
        <v>130</v>
      </c>
      <c r="C86" s="3" t="s">
        <v>204</v>
      </c>
      <c r="D86" s="18" t="s">
        <v>68</v>
      </c>
      <c r="E86" s="18" t="s">
        <v>20</v>
      </c>
      <c r="F86" s="35" t="s">
        <v>25</v>
      </c>
      <c r="G86" s="20">
        <f t="shared" si="1"/>
        <v>0.15195035829999282</v>
      </c>
      <c r="H86" s="35" t="s">
        <v>25</v>
      </c>
      <c r="I86" s="20">
        <f t="shared" si="2"/>
        <v>0.16516480656409868</v>
      </c>
      <c r="J86" s="35" t="s">
        <v>25</v>
      </c>
      <c r="K86" s="20">
        <f t="shared" si="3"/>
        <v>0.3976094365081929</v>
      </c>
      <c r="L86" s="35">
        <v>100</v>
      </c>
      <c r="M86" s="20">
        <f>AVERAGE(G86,I86,K86)</f>
        <v>0.2382415337907615</v>
      </c>
    </row>
    <row r="87" spans="2:13" ht="12.75">
      <c r="B87" s="18" t="s">
        <v>132</v>
      </c>
      <c r="C87" s="3" t="s">
        <v>204</v>
      </c>
      <c r="D87" s="18" t="s">
        <v>68</v>
      </c>
      <c r="E87" s="18" t="s">
        <v>20</v>
      </c>
      <c r="F87" s="35"/>
      <c r="G87" s="20">
        <f t="shared" si="1"/>
        <v>27.979824597309022</v>
      </c>
      <c r="H87" s="35"/>
      <c r="I87" s="20">
        <f t="shared" si="2"/>
        <v>31.876807666871038</v>
      </c>
      <c r="J87" s="35"/>
      <c r="K87" s="20">
        <f t="shared" si="3"/>
        <v>27.5653600940554</v>
      </c>
      <c r="L87" s="35"/>
      <c r="M87" s="20">
        <f t="shared" si="4"/>
        <v>29.14066411941182</v>
      </c>
    </row>
    <row r="88" spans="2:13" ht="12.75">
      <c r="B88" s="18" t="s">
        <v>207</v>
      </c>
      <c r="C88" s="3" t="s">
        <v>204</v>
      </c>
      <c r="D88" s="18" t="s">
        <v>68</v>
      </c>
      <c r="E88" s="18" t="s">
        <v>20</v>
      </c>
      <c r="F88" s="35" t="s">
        <v>25</v>
      </c>
      <c r="G88" s="20">
        <f t="shared" si="1"/>
        <v>12.575202066206304</v>
      </c>
      <c r="H88" s="35" t="s">
        <v>25</v>
      </c>
      <c r="I88" s="20">
        <f t="shared" si="2"/>
        <v>13.763733880341555</v>
      </c>
      <c r="J88" s="35" t="s">
        <v>25</v>
      </c>
      <c r="K88" s="20">
        <f t="shared" si="3"/>
        <v>12.80814711440958</v>
      </c>
      <c r="L88" s="35">
        <v>100</v>
      </c>
      <c r="M88" s="20">
        <f>AVERAGE(G88,I88,K88)/2</f>
        <v>6.5245138434929055</v>
      </c>
    </row>
    <row r="89" spans="2:13" ht="12.75">
      <c r="B89" s="18" t="s">
        <v>208</v>
      </c>
      <c r="C89" s="3" t="s">
        <v>204</v>
      </c>
      <c r="D89" s="18" t="s">
        <v>68</v>
      </c>
      <c r="E89" s="18" t="s">
        <v>20</v>
      </c>
      <c r="F89" s="35"/>
      <c r="G89" s="20">
        <f t="shared" si="1"/>
        <v>9.01222814744785</v>
      </c>
      <c r="H89" s="35"/>
      <c r="I89" s="20">
        <f t="shared" si="2"/>
        <v>4.1676586189674225</v>
      </c>
      <c r="J89" s="35"/>
      <c r="K89" s="20">
        <f t="shared" si="3"/>
        <v>5.624447211110293</v>
      </c>
      <c r="L89" s="35"/>
      <c r="M89" s="20">
        <f t="shared" si="4"/>
        <v>6.268111325841855</v>
      </c>
    </row>
    <row r="90" spans="2:13" ht="12.75">
      <c r="B90" s="18" t="s">
        <v>128</v>
      </c>
      <c r="C90" s="3" t="s">
        <v>204</v>
      </c>
      <c r="D90" s="18" t="s">
        <v>68</v>
      </c>
      <c r="E90" s="18" t="s">
        <v>20</v>
      </c>
      <c r="F90" s="35"/>
      <c r="G90" s="20">
        <f t="shared" si="1"/>
        <v>1.2156028663999425</v>
      </c>
      <c r="H90" s="35"/>
      <c r="I90" s="20">
        <f t="shared" si="2"/>
        <v>1.0680657491145047</v>
      </c>
      <c r="J90" s="35"/>
      <c r="K90" s="20">
        <f t="shared" si="3"/>
        <v>1.0747706056874125</v>
      </c>
      <c r="L90" s="35"/>
      <c r="M90" s="20">
        <f t="shared" si="4"/>
        <v>1.1194797404006198</v>
      </c>
    </row>
    <row r="91" spans="2:13" ht="12.75">
      <c r="B91" s="18" t="s">
        <v>209</v>
      </c>
      <c r="C91" s="3" t="s">
        <v>204</v>
      </c>
      <c r="D91" s="18" t="s">
        <v>68</v>
      </c>
      <c r="E91" s="18" t="s">
        <v>20</v>
      </c>
      <c r="F91" s="35"/>
      <c r="G91" s="20">
        <f t="shared" si="1"/>
        <v>0</v>
      </c>
      <c r="H91" s="35"/>
      <c r="I91" s="20">
        <f t="shared" si="2"/>
        <v>78.72855779555368</v>
      </c>
      <c r="J91" s="35"/>
      <c r="K91" s="20">
        <f t="shared" si="3"/>
        <v>49.172147400102865</v>
      </c>
      <c r="L91" s="35"/>
      <c r="M91" s="20">
        <f t="shared" si="4"/>
        <v>42.63356839855218</v>
      </c>
    </row>
    <row r="92" spans="2:13" ht="12.75">
      <c r="B92" s="18" t="s">
        <v>137</v>
      </c>
      <c r="C92" s="3" t="s">
        <v>204</v>
      </c>
      <c r="D92" s="18" t="s">
        <v>68</v>
      </c>
      <c r="E92" s="18" t="s">
        <v>20</v>
      </c>
      <c r="F92" s="35" t="s">
        <v>25</v>
      </c>
      <c r="G92" s="20">
        <f t="shared" si="1"/>
        <v>0.06811567785861747</v>
      </c>
      <c r="H92" s="35" t="s">
        <v>25</v>
      </c>
      <c r="I92" s="20">
        <f t="shared" si="2"/>
        <v>0.08258240328204934</v>
      </c>
      <c r="J92" s="35" t="s">
        <v>25</v>
      </c>
      <c r="K92" s="20">
        <f t="shared" si="3"/>
        <v>0.0779626346094496</v>
      </c>
      <c r="L92" s="35">
        <v>100</v>
      </c>
      <c r="M92" s="20">
        <f>AVERAGE(G92,I92,K92)</f>
        <v>0.07622023858337214</v>
      </c>
    </row>
    <row r="93" spans="2:13" ht="12.75">
      <c r="B93" s="18" t="s">
        <v>212</v>
      </c>
      <c r="C93" s="3" t="s">
        <v>204</v>
      </c>
      <c r="D93" s="18" t="s">
        <v>68</v>
      </c>
      <c r="E93" s="18" t="s">
        <v>20</v>
      </c>
      <c r="F93" s="35" t="s">
        <v>25</v>
      </c>
      <c r="G93" s="20">
        <f t="shared" si="1"/>
        <v>8.383468044137537</v>
      </c>
      <c r="H93" s="35" t="s">
        <v>25</v>
      </c>
      <c r="I93" s="20">
        <f t="shared" si="2"/>
        <v>8.258240328204934</v>
      </c>
      <c r="J93" s="35" t="s">
        <v>25</v>
      </c>
      <c r="K93" s="20">
        <f t="shared" si="3"/>
        <v>8.965702980086704</v>
      </c>
      <c r="L93" s="35">
        <v>100</v>
      </c>
      <c r="M93" s="20">
        <f>AVERAGE(G93,I93,K93)/2</f>
        <v>4.267901892071529</v>
      </c>
    </row>
    <row r="94" spans="2:13" ht="12.75">
      <c r="B94" s="18" t="s">
        <v>129</v>
      </c>
      <c r="C94" s="3" t="s">
        <v>204</v>
      </c>
      <c r="D94" s="18" t="s">
        <v>68</v>
      </c>
      <c r="E94" s="18" t="s">
        <v>20</v>
      </c>
      <c r="F94" s="35"/>
      <c r="G94" s="20">
        <f t="shared" si="1"/>
        <v>822.6278018309955</v>
      </c>
      <c r="H94" s="35" t="s">
        <v>25</v>
      </c>
      <c r="I94" s="20">
        <f t="shared" si="2"/>
        <v>935.9339038632257</v>
      </c>
      <c r="J94" s="35"/>
      <c r="K94" s="20">
        <f t="shared" si="3"/>
        <v>796.3326249393782</v>
      </c>
      <c r="L94" s="35"/>
      <c r="M94" s="20">
        <f t="shared" si="4"/>
        <v>851.6314435445332</v>
      </c>
    </row>
    <row r="95" spans="2:13" ht="12.75">
      <c r="B95" s="18" t="s">
        <v>210</v>
      </c>
      <c r="C95" s="3" t="s">
        <v>204</v>
      </c>
      <c r="D95" s="18" t="s">
        <v>68</v>
      </c>
      <c r="E95" s="18" t="s">
        <v>20</v>
      </c>
      <c r="F95" s="35" t="s">
        <v>25</v>
      </c>
      <c r="G95" s="20">
        <f t="shared" si="1"/>
        <v>0.130991688189649</v>
      </c>
      <c r="H95" s="35" t="s">
        <v>25</v>
      </c>
      <c r="I95" s="20">
        <f t="shared" si="2"/>
        <v>0.20370326142905504</v>
      </c>
      <c r="J95" s="35" t="s">
        <v>25</v>
      </c>
      <c r="K95" s="20">
        <f t="shared" si="3"/>
        <v>0.13921899037401714</v>
      </c>
      <c r="L95" s="35">
        <v>100</v>
      </c>
      <c r="M95" s="20">
        <f>AVERAGE(G95,I95,K95)/2</f>
        <v>0.07898565666545353</v>
      </c>
    </row>
    <row r="96" spans="2:13" ht="12.75">
      <c r="B96" s="18" t="s">
        <v>131</v>
      </c>
      <c r="C96" s="3" t="s">
        <v>204</v>
      </c>
      <c r="D96" s="18" t="s">
        <v>68</v>
      </c>
      <c r="E96" s="18" t="s">
        <v>20</v>
      </c>
      <c r="F96" s="35" t="s">
        <v>25</v>
      </c>
      <c r="G96" s="20">
        <f t="shared" si="1"/>
        <v>0.08907434796896131</v>
      </c>
      <c r="H96" s="35" t="s">
        <v>25</v>
      </c>
      <c r="I96" s="20">
        <f t="shared" si="2"/>
        <v>0.09359339038632258</v>
      </c>
      <c r="J96" s="35" t="s">
        <v>25</v>
      </c>
      <c r="K96" s="20">
        <f t="shared" si="3"/>
        <v>0.09466891345433165</v>
      </c>
      <c r="L96" s="35">
        <v>100</v>
      </c>
      <c r="M96" s="20">
        <f>AVERAGE(G96,I96,K96)/2</f>
        <v>0.04622277530160259</v>
      </c>
    </row>
    <row r="97" spans="2:13" ht="12.75">
      <c r="B97" s="18" t="s">
        <v>126</v>
      </c>
      <c r="C97" s="3" t="s">
        <v>204</v>
      </c>
      <c r="D97" s="18" t="s">
        <v>68</v>
      </c>
      <c r="E97" s="18" t="s">
        <v>20</v>
      </c>
      <c r="F97" s="35" t="s">
        <v>25</v>
      </c>
      <c r="G97" s="20">
        <f t="shared" si="1"/>
        <v>0.7335534538620343</v>
      </c>
      <c r="H97" s="35" t="s">
        <v>25</v>
      </c>
      <c r="I97" s="20">
        <f t="shared" si="2"/>
        <v>0.6056042907350284</v>
      </c>
      <c r="J97" s="35" t="s">
        <v>25</v>
      </c>
      <c r="K97" s="20">
        <f t="shared" si="3"/>
        <v>0.8353139422441029</v>
      </c>
      <c r="L97" s="35">
        <v>100</v>
      </c>
      <c r="M97" s="20">
        <f>AVERAGE(G97,I97,K97)/2</f>
        <v>0.362411947806861</v>
      </c>
    </row>
    <row r="98" spans="2:13" ht="12.75">
      <c r="B98" s="18" t="s">
        <v>211</v>
      </c>
      <c r="C98" s="3" t="s">
        <v>204</v>
      </c>
      <c r="D98" s="18" t="s">
        <v>68</v>
      </c>
      <c r="E98" s="18" t="s">
        <v>20</v>
      </c>
      <c r="G98" s="20">
        <f t="shared" si="1"/>
        <v>0.6287601033103151</v>
      </c>
      <c r="H98" s="20"/>
      <c r="I98" s="20">
        <f t="shared" si="2"/>
        <v>0.45145047127520305</v>
      </c>
      <c r="J98" s="20"/>
      <c r="K98" s="20">
        <f t="shared" si="3"/>
        <v>0.300713019207877</v>
      </c>
      <c r="L98" s="20"/>
      <c r="M98" s="20">
        <f t="shared" si="4"/>
        <v>0.46030786459779843</v>
      </c>
    </row>
    <row r="99" spans="2:13" ht="12.75">
      <c r="B99" s="5" t="s">
        <v>61</v>
      </c>
      <c r="C99" s="3" t="s">
        <v>204</v>
      </c>
      <c r="D99" s="18" t="s">
        <v>68</v>
      </c>
      <c r="E99" s="18" t="s">
        <v>20</v>
      </c>
      <c r="F99" s="62">
        <f>(G86/G99)*100</f>
        <v>11.11111111111111</v>
      </c>
      <c r="G99" s="77">
        <f>G86+G90</f>
        <v>1.3675532246999353</v>
      </c>
      <c r="H99" s="62">
        <f>I86/I99*100</f>
        <v>13.392857142857142</v>
      </c>
      <c r="I99" s="77">
        <f>I86+I90</f>
        <v>1.2332305556786034</v>
      </c>
      <c r="J99" s="4">
        <f>K86/K99*100</f>
        <v>27.004538577912246</v>
      </c>
      <c r="K99" s="77">
        <f>K86+K90</f>
        <v>1.4723800421956055</v>
      </c>
      <c r="L99" s="85">
        <f>(F99*G99+H99*I99+J99*K99)/(3*M99)</f>
        <v>17.54716069634035</v>
      </c>
      <c r="M99" s="20">
        <f t="shared" si="4"/>
        <v>1.3577212741913813</v>
      </c>
    </row>
    <row r="100" spans="2:13" ht="12.75">
      <c r="B100" s="5" t="s">
        <v>62</v>
      </c>
      <c r="C100" s="3" t="s">
        <v>204</v>
      </c>
      <c r="D100" s="18" t="s">
        <v>68</v>
      </c>
      <c r="E100" s="18" t="s">
        <v>20</v>
      </c>
      <c r="F100" s="62">
        <f>(G85+G83)/G100*100</f>
        <v>0.5697687409228019</v>
      </c>
      <c r="G100" s="78">
        <f>G83+G85+G87</f>
        <v>28.14015842365315</v>
      </c>
      <c r="H100" s="62">
        <f>(I85+I83)/I100*100</f>
        <v>0.5103355843084695</v>
      </c>
      <c r="I100" s="78">
        <f>I83+I85+I87</f>
        <v>32.0403208253695</v>
      </c>
      <c r="J100" s="62">
        <f>(K85+K83)/K100*100</f>
        <v>0.5904325822388239</v>
      </c>
      <c r="K100" s="78">
        <f>K83+K85+K87</f>
        <v>27.729081626735244</v>
      </c>
      <c r="L100" s="86">
        <f>(F100*G100+H100*I100+J100*K100)/(3*M100)</f>
        <v>0.5546251314023852</v>
      </c>
      <c r="M100" s="20">
        <f t="shared" si="4"/>
        <v>29.303186958585968</v>
      </c>
    </row>
    <row r="101" spans="2:13" ht="12.75">
      <c r="B101" s="5"/>
      <c r="C101" s="5"/>
      <c r="G101" s="7"/>
      <c r="I101" s="9"/>
      <c r="K101" s="7"/>
      <c r="M101" s="15"/>
    </row>
    <row r="102" spans="2:13" ht="12.75">
      <c r="B102" s="50" t="s">
        <v>184</v>
      </c>
      <c r="C102" s="21"/>
      <c r="G102" s="7"/>
      <c r="I102" s="9"/>
      <c r="K102" s="7"/>
      <c r="M102" s="15"/>
    </row>
    <row r="103" spans="2:13" ht="12.75">
      <c r="B103" s="21" t="s">
        <v>185</v>
      </c>
      <c r="C103" s="21" t="s">
        <v>186</v>
      </c>
      <c r="G103" s="7">
        <v>0.34</v>
      </c>
      <c r="I103" s="9"/>
      <c r="K103" s="7"/>
      <c r="M103" s="15"/>
    </row>
    <row r="104" spans="2:13" ht="12.75">
      <c r="B104" s="21" t="s">
        <v>187</v>
      </c>
      <c r="C104" s="21" t="s">
        <v>186</v>
      </c>
      <c r="G104" s="7">
        <v>0.43</v>
      </c>
      <c r="I104" s="9"/>
      <c r="K104" s="7"/>
      <c r="M104" s="16"/>
    </row>
    <row r="105" spans="2:13" ht="12.75">
      <c r="B105" s="21" t="s">
        <v>188</v>
      </c>
      <c r="C105" s="21" t="s">
        <v>186</v>
      </c>
      <c r="G105" s="7">
        <v>0.41</v>
      </c>
      <c r="I105" s="9"/>
      <c r="K105" s="7"/>
      <c r="M105" s="16"/>
    </row>
    <row r="106" spans="2:11" ht="12.75">
      <c r="B106" s="21" t="s">
        <v>189</v>
      </c>
      <c r="C106" s="21" t="s">
        <v>186</v>
      </c>
      <c r="G106" s="7">
        <v>52.09</v>
      </c>
      <c r="I106" s="9"/>
      <c r="J106" s="62"/>
      <c r="K106" s="7"/>
    </row>
    <row r="107" spans="2:11" ht="12.75">
      <c r="B107" s="21" t="s">
        <v>190</v>
      </c>
      <c r="C107" s="21" t="s">
        <v>186</v>
      </c>
      <c r="G107" s="7">
        <v>24.87</v>
      </c>
      <c r="I107" s="9"/>
      <c r="K107" s="7"/>
    </row>
    <row r="108" spans="2:11" ht="12.75">
      <c r="B108" s="21" t="s">
        <v>191</v>
      </c>
      <c r="C108" s="21" t="s">
        <v>186</v>
      </c>
      <c r="G108" s="7">
        <v>20.83</v>
      </c>
      <c r="I108" s="9"/>
      <c r="K108" s="7"/>
    </row>
    <row r="109" spans="2:11" ht="12.75">
      <c r="B109" s="21" t="s">
        <v>192</v>
      </c>
      <c r="C109" s="21" t="s">
        <v>186</v>
      </c>
      <c r="G109" s="7">
        <v>0.34</v>
      </c>
      <c r="I109" s="9"/>
      <c r="K109" s="7"/>
    </row>
    <row r="110" spans="2:7" ht="12.75">
      <c r="B110" s="21" t="s">
        <v>193</v>
      </c>
      <c r="C110" s="21" t="s">
        <v>186</v>
      </c>
      <c r="G110" s="3">
        <v>0.34</v>
      </c>
    </row>
    <row r="111" spans="2:11" ht="12.75">
      <c r="B111" s="21" t="s">
        <v>194</v>
      </c>
      <c r="C111" s="21" t="s">
        <v>186</v>
      </c>
      <c r="G111" s="7">
        <v>0.34</v>
      </c>
      <c r="I111" s="11"/>
      <c r="K111" s="4"/>
    </row>
    <row r="112" spans="2:11" ht="12.75">
      <c r="B112" s="5"/>
      <c r="C112" s="5"/>
      <c r="D112"/>
      <c r="E112"/>
      <c r="F112" s="17"/>
      <c r="G112"/>
      <c r="H112" s="17"/>
      <c r="I112" s="12"/>
      <c r="J112" s="17"/>
      <c r="K112"/>
    </row>
    <row r="113" spans="2:11" ht="12.75">
      <c r="B113" s="5"/>
      <c r="C113" s="5"/>
      <c r="G113" s="7"/>
      <c r="I113" s="9"/>
      <c r="K113" s="7"/>
    </row>
    <row r="114" spans="2:11" ht="12.75">
      <c r="B114" s="5"/>
      <c r="C114" s="5"/>
      <c r="G114" s="7"/>
      <c r="I114" s="9"/>
      <c r="K114" s="7"/>
    </row>
    <row r="115" spans="2:11" ht="12.75">
      <c r="B115" s="5"/>
      <c r="C115" s="5"/>
      <c r="G115" s="7"/>
      <c r="I115" s="9"/>
      <c r="K115" s="7"/>
    </row>
    <row r="116" spans="2:11" ht="12.75">
      <c r="B116" s="5"/>
      <c r="C116" s="5"/>
      <c r="G116" s="7"/>
      <c r="I116" s="9"/>
      <c r="K116" s="7"/>
    </row>
    <row r="117" spans="2:11" ht="12.75">
      <c r="B117" s="5"/>
      <c r="C117" s="5"/>
      <c r="G117" s="7"/>
      <c r="I117" s="9"/>
      <c r="K117" s="7"/>
    </row>
    <row r="118" spans="2:11" ht="12.75">
      <c r="B118" s="5"/>
      <c r="C118" s="5"/>
      <c r="G118" s="7"/>
      <c r="I118" s="9"/>
      <c r="K118" s="7"/>
    </row>
    <row r="119" spans="2:11" ht="12.75">
      <c r="B119" s="5"/>
      <c r="C119" s="5"/>
      <c r="G119" s="7"/>
      <c r="I119" s="9"/>
      <c r="K119" s="7"/>
    </row>
    <row r="120" spans="2:11" ht="12.75">
      <c r="B120" s="5"/>
      <c r="C120" s="5"/>
      <c r="G120" s="7"/>
      <c r="I120" s="9"/>
      <c r="K120" s="7"/>
    </row>
    <row r="121" spans="2:11" ht="12.75">
      <c r="B121" s="5"/>
      <c r="C121" s="5"/>
      <c r="G121" s="7"/>
      <c r="I121" s="9"/>
      <c r="J121" s="62"/>
      <c r="K121" s="7"/>
    </row>
    <row r="122" spans="2:11" ht="12.75">
      <c r="B122" s="5"/>
      <c r="C122" s="5"/>
      <c r="G122" s="7"/>
      <c r="I122" s="9"/>
      <c r="K122" s="7"/>
    </row>
    <row r="123" spans="2:11" ht="12.75">
      <c r="B123" s="5"/>
      <c r="C123" s="5"/>
      <c r="G123" s="7"/>
      <c r="I123" s="9"/>
      <c r="K123" s="7"/>
    </row>
    <row r="124" spans="2:11" ht="12.75">
      <c r="B124" s="5"/>
      <c r="C124" s="5"/>
      <c r="G124" s="7"/>
      <c r="I124" s="9"/>
      <c r="K124" s="7"/>
    </row>
    <row r="125" spans="2:3" ht="12.75">
      <c r="B125" s="5"/>
      <c r="C125" s="5"/>
    </row>
    <row r="126" spans="2:11" ht="12.75">
      <c r="B126" s="5"/>
      <c r="C126" s="5"/>
      <c r="G126" s="7"/>
      <c r="I126" s="9"/>
      <c r="K126" s="7"/>
    </row>
    <row r="127" spans="2:11" ht="12.75">
      <c r="B127" s="5"/>
      <c r="C127" s="5"/>
      <c r="G127" s="7"/>
      <c r="I127" s="9"/>
      <c r="J127" s="62"/>
      <c r="K127" s="7"/>
    </row>
    <row r="128" spans="2:11" ht="12.75">
      <c r="B128" s="5"/>
      <c r="C128" s="5"/>
      <c r="G128" s="7"/>
      <c r="I128" s="9"/>
      <c r="K128" s="7"/>
    </row>
    <row r="129" spans="2:11" ht="12.75">
      <c r="B129" s="5"/>
      <c r="C129" s="5"/>
      <c r="G129" s="7"/>
      <c r="I129" s="9"/>
      <c r="K129" s="7"/>
    </row>
    <row r="130" spans="2:11" ht="12.75">
      <c r="B130" s="5"/>
      <c r="C130" s="5"/>
      <c r="G130" s="7"/>
      <c r="I130" s="9"/>
      <c r="K130" s="7"/>
    </row>
    <row r="131" spans="7:11" ht="12.75">
      <c r="G131" s="8"/>
      <c r="K131" s="8"/>
    </row>
    <row r="133" spans="2:3" ht="12.75">
      <c r="B133" s="2"/>
      <c r="C133" s="2"/>
    </row>
    <row r="134" spans="2:3" ht="12.75">
      <c r="B134" s="5"/>
      <c r="C134" s="5"/>
    </row>
    <row r="135" spans="2:3" ht="12.75">
      <c r="B135" s="6"/>
      <c r="C135" s="6"/>
    </row>
    <row r="136" spans="2:3" ht="12.75">
      <c r="B136" s="5"/>
      <c r="C136" s="5"/>
    </row>
    <row r="137" spans="2:9" ht="12.75">
      <c r="B137" s="5"/>
      <c r="C137" s="5"/>
      <c r="G137" s="7"/>
      <c r="I137" s="9"/>
    </row>
    <row r="138" spans="2:9" ht="12.75">
      <c r="B138" s="5"/>
      <c r="C138" s="5"/>
      <c r="G138" s="7"/>
      <c r="I138" s="9"/>
    </row>
    <row r="139" spans="7:9" ht="12.75">
      <c r="G139" s="7"/>
      <c r="I139" s="9"/>
    </row>
    <row r="140" spans="2:11" ht="12.75">
      <c r="B140" s="5"/>
      <c r="C140" s="5"/>
      <c r="G140" s="7"/>
      <c r="I140" s="9"/>
      <c r="K140" s="7"/>
    </row>
    <row r="141" spans="7:9" ht="12.75">
      <c r="G141" s="7"/>
      <c r="I141" s="9"/>
    </row>
    <row r="142" spans="2:9" ht="12.75">
      <c r="B142" s="5"/>
      <c r="C142" s="5"/>
      <c r="G142" s="7"/>
      <c r="I142" s="9"/>
    </row>
    <row r="143" spans="2:9" ht="12.75">
      <c r="B143" s="5"/>
      <c r="C143" s="5"/>
      <c r="G143" s="7"/>
      <c r="I143" s="9"/>
    </row>
    <row r="144" spans="2:9" ht="12.75">
      <c r="B144" s="5"/>
      <c r="C144" s="5"/>
      <c r="G144" s="7"/>
      <c r="I144" s="9"/>
    </row>
    <row r="145" spans="2:9" ht="12.75">
      <c r="B145" s="5"/>
      <c r="C145" s="5"/>
      <c r="G145" s="7"/>
      <c r="I145" s="9"/>
    </row>
    <row r="146" spans="7:9" ht="12.75">
      <c r="G146" s="7"/>
      <c r="I146" s="9"/>
    </row>
    <row r="147" spans="2:11" ht="12.75">
      <c r="B147" s="2"/>
      <c r="C147" s="2"/>
      <c r="G147" s="4"/>
      <c r="I147" s="11"/>
      <c r="K147" s="4"/>
    </row>
    <row r="150" spans="7:11" ht="12.75">
      <c r="G150" s="8"/>
      <c r="K150" s="8"/>
    </row>
    <row r="151" spans="7:11" ht="12.75">
      <c r="G151" s="8"/>
      <c r="K151" s="8"/>
    </row>
    <row r="152" spans="7:11" ht="12.75">
      <c r="G152" s="8"/>
      <c r="K152" s="8"/>
    </row>
    <row r="153" spans="7:11" ht="12.75">
      <c r="G153" s="8"/>
      <c r="K153" s="8"/>
    </row>
    <row r="154" spans="7:11" ht="12.75">
      <c r="G154" s="8"/>
      <c r="K154" s="8"/>
    </row>
    <row r="155" spans="7:11" ht="12.75">
      <c r="G155" s="8"/>
      <c r="K155" s="8"/>
    </row>
    <row r="156" spans="7:11" ht="12.75">
      <c r="G156" s="8"/>
      <c r="K156" s="8"/>
    </row>
    <row r="157" spans="7:11" ht="12.75">
      <c r="G157" s="8"/>
      <c r="K157" s="8"/>
    </row>
    <row r="158" spans="7:11" ht="12.75">
      <c r="G158" s="8"/>
      <c r="K158" s="8"/>
    </row>
    <row r="159" spans="7:11" ht="12.75">
      <c r="G159" s="8"/>
      <c r="K159" s="8"/>
    </row>
    <row r="160" spans="7:11" ht="12.75">
      <c r="G160" s="8"/>
      <c r="K160" s="8"/>
    </row>
    <row r="161" spans="7:11" ht="12.75">
      <c r="G161" s="8"/>
      <c r="K161" s="8"/>
    </row>
    <row r="163" spans="7:11" ht="12.75">
      <c r="G163" s="8"/>
      <c r="K163" s="8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145"/>
  <sheetViews>
    <sheetView zoomScale="75" zoomScaleNormal="75" workbookViewId="0" topLeftCell="B1">
      <selection activeCell="B2" sqref="B2"/>
    </sheetView>
  </sheetViews>
  <sheetFormatPr defaultColWidth="9.140625" defaultRowHeight="12.75"/>
  <cols>
    <col min="1" max="1" width="9.140625" style="51" hidden="1" customWidth="1"/>
    <col min="2" max="2" width="22.140625" style="21" customWidth="1"/>
    <col min="3" max="3" width="9.00390625" style="21" customWidth="1"/>
    <col min="4" max="4" width="9.28125" style="21" customWidth="1"/>
    <col min="5" max="5" width="3.8515625" style="51" customWidth="1"/>
    <col min="6" max="6" width="9.7109375" style="51" bestFit="1" customWidth="1"/>
    <col min="7" max="7" width="4.28125" style="51" customWidth="1"/>
    <col min="8" max="8" width="10.00390625" style="51" customWidth="1"/>
    <col min="9" max="9" width="4.00390625" style="51" customWidth="1"/>
    <col min="10" max="10" width="8.57421875" style="51" bestFit="1" customWidth="1"/>
    <col min="11" max="11" width="3.8515625" style="51" customWidth="1"/>
    <col min="12" max="12" width="9.28125" style="25" bestFit="1" customWidth="1"/>
    <col min="13" max="13" width="4.421875" style="51" customWidth="1"/>
    <col min="14" max="14" width="9.7109375" style="51" bestFit="1" customWidth="1"/>
    <col min="15" max="15" width="4.140625" style="51" customWidth="1"/>
    <col min="16" max="16" width="9.7109375" style="51" bestFit="1" customWidth="1"/>
    <col min="17" max="17" width="4.00390625" style="51" customWidth="1"/>
    <col min="18" max="18" width="9.00390625" style="51" bestFit="1" customWidth="1"/>
    <col min="19" max="19" width="4.00390625" style="51" customWidth="1"/>
    <col min="20" max="20" width="10.140625" style="51" customWidth="1"/>
    <col min="21" max="21" width="4.140625" style="51" customWidth="1"/>
    <col min="22" max="22" width="10.7109375" style="51" bestFit="1" customWidth="1"/>
    <col min="23" max="23" width="4.57421875" style="51" customWidth="1"/>
    <col min="24" max="24" width="10.7109375" style="51" bestFit="1" customWidth="1"/>
    <col min="25" max="25" width="4.421875" style="51" customWidth="1"/>
    <col min="26" max="26" width="10.7109375" style="51" bestFit="1" customWidth="1"/>
    <col min="27" max="27" width="3.8515625" style="51" customWidth="1"/>
    <col min="28" max="28" width="10.7109375" style="51" bestFit="1" customWidth="1"/>
    <col min="29" max="16384" width="8.8515625" style="51" customWidth="1"/>
  </cols>
  <sheetData>
    <row r="1" spans="2:3" ht="12.75">
      <c r="B1" s="50" t="s">
        <v>76</v>
      </c>
      <c r="C1" s="50"/>
    </row>
    <row r="2" spans="2:3" ht="12.75">
      <c r="B2" s="50"/>
      <c r="C2" s="50"/>
    </row>
    <row r="4" spans="1:28" ht="12.75">
      <c r="A4" s="51" t="s">
        <v>135</v>
      </c>
      <c r="B4" s="50" t="s">
        <v>133</v>
      </c>
      <c r="C4" s="50" t="s">
        <v>111</v>
      </c>
      <c r="E4" s="22"/>
      <c r="F4" s="22" t="s">
        <v>224</v>
      </c>
      <c r="G4" s="22"/>
      <c r="H4" s="22" t="s">
        <v>225</v>
      </c>
      <c r="I4" s="22"/>
      <c r="J4" s="22" t="s">
        <v>226</v>
      </c>
      <c r="K4" s="22"/>
      <c r="L4" s="21" t="s">
        <v>77</v>
      </c>
      <c r="M4" s="22"/>
      <c r="N4" s="22" t="s">
        <v>224</v>
      </c>
      <c r="O4" s="22"/>
      <c r="P4" s="22" t="s">
        <v>225</v>
      </c>
      <c r="Q4" s="22"/>
      <c r="R4" s="22" t="s">
        <v>226</v>
      </c>
      <c r="S4" s="22"/>
      <c r="T4" s="21" t="s">
        <v>77</v>
      </c>
      <c r="V4" s="22" t="s">
        <v>224</v>
      </c>
      <c r="W4" s="22"/>
      <c r="X4" s="22" t="s">
        <v>225</v>
      </c>
      <c r="Y4" s="22"/>
      <c r="Z4" s="22" t="s">
        <v>226</v>
      </c>
      <c r="AA4" s="22"/>
      <c r="AB4" s="21" t="s">
        <v>77</v>
      </c>
    </row>
    <row r="5" spans="2:20" ht="12.75">
      <c r="B5" s="50"/>
      <c r="C5" s="50"/>
      <c r="E5" s="22"/>
      <c r="F5" s="22"/>
      <c r="G5" s="22"/>
      <c r="H5" s="22"/>
      <c r="I5" s="22"/>
      <c r="J5" s="22"/>
      <c r="K5" s="22"/>
      <c r="M5" s="22"/>
      <c r="N5" s="22"/>
      <c r="O5" s="22"/>
      <c r="P5" s="22"/>
      <c r="Q5" s="22"/>
      <c r="R5" s="22"/>
      <c r="S5" s="22"/>
      <c r="T5" s="25"/>
    </row>
    <row r="6" spans="2:28" ht="12.75">
      <c r="B6" s="21" t="s">
        <v>227</v>
      </c>
      <c r="C6" s="50"/>
      <c r="E6" s="22"/>
      <c r="F6" s="22" t="s">
        <v>229</v>
      </c>
      <c r="G6" s="22"/>
      <c r="H6" s="22" t="s">
        <v>229</v>
      </c>
      <c r="I6" s="22"/>
      <c r="J6" s="22" t="s">
        <v>229</v>
      </c>
      <c r="K6" s="22"/>
      <c r="L6" s="25" t="s">
        <v>229</v>
      </c>
      <c r="M6" s="22"/>
      <c r="N6" s="22" t="s">
        <v>230</v>
      </c>
      <c r="O6" s="22"/>
      <c r="P6" s="22" t="s">
        <v>230</v>
      </c>
      <c r="Q6" s="22"/>
      <c r="R6" s="22" t="s">
        <v>230</v>
      </c>
      <c r="S6" s="22"/>
      <c r="T6" s="25" t="s">
        <v>230</v>
      </c>
      <c r="V6" s="51" t="s">
        <v>231</v>
      </c>
      <c r="X6" s="51" t="s">
        <v>231</v>
      </c>
      <c r="Z6" s="51" t="s">
        <v>231</v>
      </c>
      <c r="AB6" s="51" t="s">
        <v>231</v>
      </c>
    </row>
    <row r="7" spans="2:28" ht="12.75">
      <c r="B7" s="21" t="s">
        <v>228</v>
      </c>
      <c r="E7" s="22"/>
      <c r="F7" s="22" t="s">
        <v>232</v>
      </c>
      <c r="G7" s="22"/>
      <c r="H7" s="22" t="s">
        <v>232</v>
      </c>
      <c r="I7" s="22"/>
      <c r="J7" s="22" t="s">
        <v>232</v>
      </c>
      <c r="K7" s="22"/>
      <c r="L7" s="22" t="s">
        <v>232</v>
      </c>
      <c r="M7" s="22"/>
      <c r="N7" s="22" t="s">
        <v>55</v>
      </c>
      <c r="O7" s="22"/>
      <c r="P7" s="22" t="s">
        <v>55</v>
      </c>
      <c r="Q7" s="22"/>
      <c r="R7" s="22" t="s">
        <v>55</v>
      </c>
      <c r="S7" s="22"/>
      <c r="T7" s="22" t="s">
        <v>55</v>
      </c>
      <c r="V7" s="25" t="s">
        <v>152</v>
      </c>
      <c r="X7" s="25" t="s">
        <v>152</v>
      </c>
      <c r="Z7" s="25" t="s">
        <v>152</v>
      </c>
      <c r="AB7" s="25" t="s">
        <v>152</v>
      </c>
    </row>
    <row r="8" spans="2:28" ht="12.75">
      <c r="B8" s="21" t="s">
        <v>233</v>
      </c>
      <c r="E8" s="22"/>
      <c r="F8" s="22" t="s">
        <v>60</v>
      </c>
      <c r="G8" s="22"/>
      <c r="H8" s="22" t="s">
        <v>60</v>
      </c>
      <c r="I8" s="22"/>
      <c r="J8" s="22" t="s">
        <v>60</v>
      </c>
      <c r="K8" s="22"/>
      <c r="L8" s="22" t="s">
        <v>60</v>
      </c>
      <c r="M8" s="22"/>
      <c r="N8" s="22" t="s">
        <v>55</v>
      </c>
      <c r="O8" s="22"/>
      <c r="P8" s="22" t="s">
        <v>55</v>
      </c>
      <c r="Q8" s="22"/>
      <c r="R8" s="22" t="s">
        <v>55</v>
      </c>
      <c r="S8" s="22"/>
      <c r="T8" s="22" t="s">
        <v>55</v>
      </c>
      <c r="V8" s="25" t="s">
        <v>152</v>
      </c>
      <c r="X8" s="25" t="s">
        <v>152</v>
      </c>
      <c r="Z8" s="25" t="s">
        <v>152</v>
      </c>
      <c r="AB8" s="25" t="s">
        <v>152</v>
      </c>
    </row>
    <row r="9" spans="2:28" ht="12.75">
      <c r="B9" s="21" t="s">
        <v>26</v>
      </c>
      <c r="F9" s="25" t="s">
        <v>54</v>
      </c>
      <c r="G9" s="25"/>
      <c r="H9" s="25" t="s">
        <v>54</v>
      </c>
      <c r="I9" s="25"/>
      <c r="J9" s="25" t="s">
        <v>54</v>
      </c>
      <c r="L9" s="25" t="s">
        <v>54</v>
      </c>
      <c r="M9" s="22"/>
      <c r="N9" s="22" t="s">
        <v>55</v>
      </c>
      <c r="O9" s="22"/>
      <c r="P9" s="22" t="s">
        <v>55</v>
      </c>
      <c r="Q9" s="22"/>
      <c r="R9" s="22" t="s">
        <v>55</v>
      </c>
      <c r="S9" s="22"/>
      <c r="T9" s="22" t="s">
        <v>55</v>
      </c>
      <c r="V9" s="25" t="s">
        <v>152</v>
      </c>
      <c r="X9" s="25" t="s">
        <v>152</v>
      </c>
      <c r="Z9" s="25" t="s">
        <v>152</v>
      </c>
      <c r="AB9" s="25" t="s">
        <v>152</v>
      </c>
    </row>
    <row r="10" spans="2:24" ht="12.75">
      <c r="B10" s="21" t="s">
        <v>138</v>
      </c>
      <c r="D10" s="21" t="s">
        <v>42</v>
      </c>
      <c r="F10" s="51">
        <v>3849</v>
      </c>
      <c r="H10" s="51">
        <v>3849</v>
      </c>
      <c r="J10" s="51">
        <v>3849</v>
      </c>
      <c r="L10" s="23">
        <v>3849</v>
      </c>
      <c r="X10" s="54"/>
    </row>
    <row r="11" spans="2:12" ht="12.75">
      <c r="B11" s="21" t="s">
        <v>32</v>
      </c>
      <c r="D11" s="21" t="s">
        <v>33</v>
      </c>
      <c r="F11" s="51">
        <v>3.6</v>
      </c>
      <c r="H11" s="51">
        <v>3.1</v>
      </c>
      <c r="J11" s="51">
        <v>24</v>
      </c>
      <c r="L11" s="25">
        <v>14.575</v>
      </c>
    </row>
    <row r="12" spans="2:12" ht="12.75">
      <c r="B12" s="21" t="s">
        <v>28</v>
      </c>
      <c r="D12" s="21" t="s">
        <v>29</v>
      </c>
      <c r="F12" s="33">
        <v>10590</v>
      </c>
      <c r="H12" s="33">
        <v>10680</v>
      </c>
      <c r="J12" s="33">
        <v>11119</v>
      </c>
      <c r="L12" s="25">
        <v>10877</v>
      </c>
    </row>
    <row r="13" spans="2:12" ht="12.75">
      <c r="B13" s="21" t="s">
        <v>43</v>
      </c>
      <c r="D13" s="21" t="s">
        <v>44</v>
      </c>
      <c r="F13" s="33">
        <v>10.2</v>
      </c>
      <c r="H13" s="33">
        <v>10.2</v>
      </c>
      <c r="J13" s="33">
        <v>10.4</v>
      </c>
      <c r="L13" s="25">
        <v>10.3</v>
      </c>
    </row>
    <row r="14" spans="2:26" ht="12.75">
      <c r="B14" s="21" t="s">
        <v>30</v>
      </c>
      <c r="D14" s="21" t="s">
        <v>42</v>
      </c>
      <c r="F14" s="33">
        <v>0.4</v>
      </c>
      <c r="H14" s="33">
        <v>0.3</v>
      </c>
      <c r="J14" s="33">
        <v>0.79</v>
      </c>
      <c r="L14" s="27">
        <v>0.548</v>
      </c>
      <c r="N14" s="54">
        <v>1.5</v>
      </c>
      <c r="P14" s="54">
        <v>1.4</v>
      </c>
      <c r="R14" s="54">
        <v>1.8</v>
      </c>
      <c r="T14" s="27">
        <f>AVERAGE(N14,P14,R14)</f>
        <v>1.5666666666666667</v>
      </c>
      <c r="U14" s="22"/>
      <c r="V14" s="25"/>
      <c r="W14" s="22"/>
      <c r="X14" s="25"/>
      <c r="Z14" s="25"/>
    </row>
    <row r="15" spans="2:26" ht="12.75">
      <c r="B15" s="21" t="s">
        <v>31</v>
      </c>
      <c r="D15" s="21" t="s">
        <v>42</v>
      </c>
      <c r="F15" s="33">
        <v>33.9</v>
      </c>
      <c r="H15" s="33">
        <v>24.6</v>
      </c>
      <c r="J15" s="33">
        <v>9.62</v>
      </c>
      <c r="L15" s="23">
        <v>19.654</v>
      </c>
      <c r="N15" s="25">
        <v>540</v>
      </c>
      <c r="P15" s="25">
        <v>530</v>
      </c>
      <c r="R15" s="25">
        <v>520</v>
      </c>
      <c r="T15" s="25">
        <f>AVERAGE(N15,P15,R15)</f>
        <v>530</v>
      </c>
      <c r="U15" s="22"/>
      <c r="V15" s="25"/>
      <c r="W15" s="22"/>
      <c r="X15" s="25"/>
      <c r="Z15" s="25"/>
    </row>
    <row r="16" spans="2:26" ht="12.75">
      <c r="B16" s="21" t="s">
        <v>127</v>
      </c>
      <c r="D16" s="21" t="s">
        <v>27</v>
      </c>
      <c r="F16" s="33">
        <v>1.5</v>
      </c>
      <c r="H16" s="33">
        <v>1.1</v>
      </c>
      <c r="J16" s="33">
        <v>2.2</v>
      </c>
      <c r="L16" s="27">
        <v>1.975</v>
      </c>
      <c r="T16" s="25"/>
      <c r="U16" s="22"/>
      <c r="V16" s="25"/>
      <c r="W16" s="22"/>
      <c r="X16" s="25"/>
      <c r="Z16" s="25"/>
    </row>
    <row r="17" spans="2:23" ht="12.75">
      <c r="B17" s="21" t="s">
        <v>122</v>
      </c>
      <c r="D17" s="21" t="s">
        <v>27</v>
      </c>
      <c r="E17" s="51" t="s">
        <v>25</v>
      </c>
      <c r="F17" s="33">
        <v>0.5</v>
      </c>
      <c r="G17" s="51" t="s">
        <v>25</v>
      </c>
      <c r="H17" s="33">
        <v>0.5</v>
      </c>
      <c r="I17" s="51" t="s">
        <v>25</v>
      </c>
      <c r="J17" s="33">
        <v>0.5</v>
      </c>
      <c r="L17" s="23">
        <v>0.5</v>
      </c>
      <c r="U17" s="22"/>
      <c r="W17" s="22"/>
    </row>
    <row r="18" spans="2:23" ht="12.75">
      <c r="B18" s="21" t="s">
        <v>123</v>
      </c>
      <c r="D18" s="21" t="s">
        <v>27</v>
      </c>
      <c r="E18" s="22" t="s">
        <v>25</v>
      </c>
      <c r="F18" s="25">
        <v>0.01</v>
      </c>
      <c r="G18" s="22" t="s">
        <v>25</v>
      </c>
      <c r="H18" s="25">
        <v>0.01</v>
      </c>
      <c r="I18" s="22"/>
      <c r="J18" s="25">
        <v>0.53</v>
      </c>
      <c r="K18" s="22"/>
      <c r="L18" s="23">
        <v>0.298</v>
      </c>
      <c r="M18" s="22"/>
      <c r="N18" s="22"/>
      <c r="O18" s="22"/>
      <c r="P18" s="22"/>
      <c r="Q18" s="22"/>
      <c r="R18" s="22"/>
      <c r="S18" s="22"/>
      <c r="T18" s="25"/>
      <c r="U18" s="22"/>
      <c r="V18" s="25"/>
      <c r="W18" s="22"/>
    </row>
    <row r="19" spans="2:23" ht="12.75">
      <c r="B19" s="21" t="s">
        <v>124</v>
      </c>
      <c r="D19" s="21" t="s">
        <v>27</v>
      </c>
      <c r="E19" s="22"/>
      <c r="F19" s="25">
        <v>0.78</v>
      </c>
      <c r="G19" s="22"/>
      <c r="H19" s="25">
        <v>0.74</v>
      </c>
      <c r="I19" s="22" t="s">
        <v>25</v>
      </c>
      <c r="J19" s="25">
        <v>0.007</v>
      </c>
      <c r="K19" s="22"/>
      <c r="L19" s="23">
        <v>0.384</v>
      </c>
      <c r="M19" s="22"/>
      <c r="N19" s="22"/>
      <c r="O19" s="22"/>
      <c r="P19" s="22"/>
      <c r="Q19" s="22"/>
      <c r="R19" s="22"/>
      <c r="S19" s="22"/>
      <c r="T19" s="25"/>
      <c r="U19" s="22"/>
      <c r="V19" s="25"/>
      <c r="W19" s="22"/>
    </row>
    <row r="20" spans="2:23" ht="12.75">
      <c r="B20" s="21" t="s">
        <v>130</v>
      </c>
      <c r="D20" s="21" t="s">
        <v>27</v>
      </c>
      <c r="E20" s="22"/>
      <c r="F20" s="25">
        <v>0.29</v>
      </c>
      <c r="G20" s="22"/>
      <c r="H20" s="25">
        <v>0.24</v>
      </c>
      <c r="I20" s="22" t="s">
        <v>25</v>
      </c>
      <c r="J20" s="25">
        <v>0.06</v>
      </c>
      <c r="K20" s="22"/>
      <c r="L20" s="23">
        <v>0.163</v>
      </c>
      <c r="M20" s="22"/>
      <c r="N20" s="22"/>
      <c r="O20" s="22"/>
      <c r="P20" s="22"/>
      <c r="Q20" s="22"/>
      <c r="R20" s="22"/>
      <c r="S20" s="22"/>
      <c r="T20" s="25"/>
      <c r="U20" s="22"/>
      <c r="V20" s="25"/>
      <c r="W20" s="22"/>
    </row>
    <row r="21" spans="2:23" ht="12.75">
      <c r="B21" s="21" t="s">
        <v>132</v>
      </c>
      <c r="D21" s="21" t="s">
        <v>27</v>
      </c>
      <c r="F21" s="41">
        <v>7.5</v>
      </c>
      <c r="H21" s="41">
        <v>4.6</v>
      </c>
      <c r="J21" s="41">
        <v>8.3</v>
      </c>
      <c r="L21" s="23">
        <v>7.025</v>
      </c>
      <c r="N21" s="51">
        <v>5.1</v>
      </c>
      <c r="P21" s="51">
        <v>5.1</v>
      </c>
      <c r="R21" s="51">
        <v>5.1</v>
      </c>
      <c r="T21" s="25">
        <v>5.1</v>
      </c>
      <c r="U21" s="22"/>
      <c r="V21" s="25"/>
      <c r="W21" s="22"/>
    </row>
    <row r="22" spans="2:23" ht="12.75">
      <c r="B22" s="21" t="s">
        <v>128</v>
      </c>
      <c r="D22" s="21" t="s">
        <v>27</v>
      </c>
      <c r="E22" s="51" t="s">
        <v>25</v>
      </c>
      <c r="F22" s="41">
        <v>1</v>
      </c>
      <c r="G22" s="51" t="s">
        <v>25</v>
      </c>
      <c r="H22" s="41">
        <v>1</v>
      </c>
      <c r="I22" s="51" t="s">
        <v>25</v>
      </c>
      <c r="J22" s="41">
        <v>1</v>
      </c>
      <c r="L22" s="23">
        <v>1</v>
      </c>
      <c r="T22" s="25"/>
      <c r="U22" s="22"/>
      <c r="V22" s="25"/>
      <c r="W22" s="22"/>
    </row>
    <row r="23" spans="2:24" ht="12.75">
      <c r="B23" s="21" t="s">
        <v>137</v>
      </c>
      <c r="D23" s="21" t="s">
        <v>27</v>
      </c>
      <c r="E23" s="51" t="s">
        <v>25</v>
      </c>
      <c r="F23" s="41">
        <v>0.02</v>
      </c>
      <c r="G23" s="51" t="s">
        <v>25</v>
      </c>
      <c r="H23" s="41">
        <v>0.02</v>
      </c>
      <c r="I23" s="51" t="s">
        <v>25</v>
      </c>
      <c r="J23" s="41">
        <v>0.02</v>
      </c>
      <c r="L23" s="27">
        <v>0.02</v>
      </c>
      <c r="U23" s="22"/>
      <c r="V23" s="25"/>
      <c r="W23" s="22"/>
      <c r="X23" s="25"/>
    </row>
    <row r="24" spans="2:22" ht="12.75">
      <c r="B24" s="21" t="s">
        <v>129</v>
      </c>
      <c r="D24" s="21" t="s">
        <v>27</v>
      </c>
      <c r="F24" s="41">
        <v>5.8</v>
      </c>
      <c r="H24" s="41">
        <v>3.8</v>
      </c>
      <c r="J24" s="41">
        <v>19</v>
      </c>
      <c r="L24" s="23">
        <v>11.9</v>
      </c>
      <c r="T24" s="52"/>
      <c r="U24" s="22"/>
      <c r="V24" s="22"/>
    </row>
    <row r="25" spans="2:22" ht="12.75">
      <c r="B25" s="21" t="s">
        <v>210</v>
      </c>
      <c r="D25" s="21" t="s">
        <v>27</v>
      </c>
      <c r="F25" s="41">
        <v>2.6</v>
      </c>
      <c r="H25" s="41">
        <v>1.6</v>
      </c>
      <c r="J25" s="41">
        <v>3.7</v>
      </c>
      <c r="L25" s="23">
        <v>3.1</v>
      </c>
      <c r="T25" s="53"/>
      <c r="U25" s="22"/>
      <c r="V25" s="22"/>
    </row>
    <row r="26" spans="2:22" ht="12.75">
      <c r="B26" s="21" t="s">
        <v>131</v>
      </c>
      <c r="D26" s="21" t="s">
        <v>27</v>
      </c>
      <c r="E26" s="51" t="s">
        <v>25</v>
      </c>
      <c r="F26" s="41">
        <v>0.1</v>
      </c>
      <c r="G26" s="51" t="s">
        <v>25</v>
      </c>
      <c r="H26" s="41">
        <v>0.1</v>
      </c>
      <c r="I26" s="51" t="s">
        <v>25</v>
      </c>
      <c r="J26" s="41">
        <v>0.3</v>
      </c>
      <c r="L26" s="23">
        <v>0.2</v>
      </c>
      <c r="U26" s="22"/>
      <c r="V26" s="22"/>
    </row>
    <row r="27" spans="2:22" ht="12.75">
      <c r="B27" s="21" t="s">
        <v>126</v>
      </c>
      <c r="D27" s="21" t="s">
        <v>27</v>
      </c>
      <c r="E27" s="51" t="s">
        <v>25</v>
      </c>
      <c r="F27" s="41">
        <v>0.5</v>
      </c>
      <c r="G27" s="51" t="s">
        <v>25</v>
      </c>
      <c r="H27" s="41">
        <v>0.5</v>
      </c>
      <c r="I27" s="51" t="s">
        <v>25</v>
      </c>
      <c r="J27" s="41">
        <v>0.7</v>
      </c>
      <c r="L27" s="23">
        <v>0.6</v>
      </c>
      <c r="U27" s="22"/>
      <c r="V27" s="22"/>
    </row>
    <row r="28" spans="2:22" ht="12.75">
      <c r="B28" s="21" t="s">
        <v>125</v>
      </c>
      <c r="D28" s="21" t="s">
        <v>27</v>
      </c>
      <c r="F28" s="41">
        <v>0.38</v>
      </c>
      <c r="G28" s="25"/>
      <c r="H28" s="41">
        <v>0.84</v>
      </c>
      <c r="I28" s="25"/>
      <c r="J28" s="41">
        <v>0.59</v>
      </c>
      <c r="L28" s="23">
        <v>0.498</v>
      </c>
      <c r="T28" s="27"/>
      <c r="U28" s="22"/>
      <c r="V28" s="22"/>
    </row>
    <row r="29" spans="6:22" ht="12.75">
      <c r="F29" s="35"/>
      <c r="H29" s="35"/>
      <c r="J29" s="35"/>
      <c r="L29" s="26"/>
      <c r="T29" s="27"/>
      <c r="U29" s="22"/>
      <c r="V29" s="22"/>
    </row>
    <row r="30" spans="2:22" ht="12.75">
      <c r="B30" s="21" t="s">
        <v>69</v>
      </c>
      <c r="D30" s="21" t="s">
        <v>22</v>
      </c>
      <c r="E30" s="22"/>
      <c r="F30" s="25">
        <f>emiss!G22</f>
        <v>7925</v>
      </c>
      <c r="G30" s="22"/>
      <c r="H30" s="25">
        <f>emiss!I22</f>
        <v>8195</v>
      </c>
      <c r="I30" s="22"/>
      <c r="J30" s="25">
        <f>emiss!K22</f>
        <v>8627</v>
      </c>
      <c r="K30" s="22"/>
      <c r="L30" s="23">
        <f>emiss!M22</f>
        <v>8249</v>
      </c>
      <c r="N30" s="51">
        <v>7925</v>
      </c>
      <c r="P30" s="51">
        <v>8195</v>
      </c>
      <c r="R30" s="51">
        <v>8627</v>
      </c>
      <c r="T30" s="27">
        <v>8249</v>
      </c>
      <c r="U30" s="22"/>
      <c r="V30" s="22"/>
    </row>
    <row r="31" spans="2:22" ht="12.75">
      <c r="B31" s="21" t="s">
        <v>70</v>
      </c>
      <c r="D31" s="21" t="s">
        <v>23</v>
      </c>
      <c r="E31" s="22"/>
      <c r="F31" s="25">
        <f>emiss!G23</f>
        <v>3.7</v>
      </c>
      <c r="G31" s="22"/>
      <c r="H31" s="25">
        <f>emiss!I23</f>
        <v>4</v>
      </c>
      <c r="I31" s="22"/>
      <c r="J31" s="25">
        <f>emiss!K23</f>
        <v>2.3</v>
      </c>
      <c r="K31" s="22"/>
      <c r="L31" s="23">
        <f>emiss!M23</f>
        <v>3.3333333333333335</v>
      </c>
      <c r="N31" s="51">
        <v>3.7</v>
      </c>
      <c r="P31" s="51">
        <v>4</v>
      </c>
      <c r="R31" s="51">
        <v>2.3</v>
      </c>
      <c r="T31" s="27">
        <v>3.3333333333333335</v>
      </c>
      <c r="U31" s="22"/>
      <c r="V31" s="22"/>
    </row>
    <row r="32" spans="5:22" ht="12.75">
      <c r="E32" s="22"/>
      <c r="F32" s="22"/>
      <c r="G32" s="22"/>
      <c r="H32" s="22"/>
      <c r="I32" s="22"/>
      <c r="J32" s="22"/>
      <c r="K32" s="22"/>
      <c r="T32" s="27"/>
      <c r="U32" s="22"/>
      <c r="V32" s="22"/>
    </row>
    <row r="33" spans="2:28" ht="12.75">
      <c r="B33" s="21" t="s">
        <v>136</v>
      </c>
      <c r="D33" s="21" t="s">
        <v>45</v>
      </c>
      <c r="E33" s="22"/>
      <c r="F33" s="23">
        <f>(F10*F12)/1000000</f>
        <v>40.76091</v>
      </c>
      <c r="G33" s="22"/>
      <c r="H33" s="23">
        <f>(H10*H12)/1000000</f>
        <v>41.10732</v>
      </c>
      <c r="I33" s="22"/>
      <c r="J33" s="23">
        <f>(J10*J12)/1000000</f>
        <v>42.797031</v>
      </c>
      <c r="K33" s="22"/>
      <c r="L33" s="23">
        <f>(L10*L12)/1000000</f>
        <v>41.865573</v>
      </c>
      <c r="T33" s="27"/>
      <c r="U33" s="22"/>
      <c r="V33" s="23">
        <f>F33</f>
        <v>40.76091</v>
      </c>
      <c r="W33" s="25"/>
      <c r="X33" s="23">
        <f>H33</f>
        <v>41.10732</v>
      </c>
      <c r="Y33" s="25"/>
      <c r="Z33" s="23">
        <f>J33</f>
        <v>42.797031</v>
      </c>
      <c r="AA33" s="25"/>
      <c r="AB33" s="23">
        <f>L33</f>
        <v>41.865573</v>
      </c>
    </row>
    <row r="34" spans="2:28" ht="12.75">
      <c r="B34" s="21" t="s">
        <v>71</v>
      </c>
      <c r="D34" s="21" t="s">
        <v>45</v>
      </c>
      <c r="E34" s="22"/>
      <c r="K34" s="22"/>
      <c r="T34" s="27"/>
      <c r="U34" s="22"/>
      <c r="V34" s="23">
        <f>(F30/9000)*((21-F31)/21)*60</f>
        <v>43.52460317460318</v>
      </c>
      <c r="W34" s="22"/>
      <c r="X34" s="23">
        <f>(H30/9000)*((21-H31)/21)*60</f>
        <v>44.22698412698413</v>
      </c>
      <c r="Y34" s="22"/>
      <c r="Z34" s="23">
        <f>(J30/9000)*((21-J31)/21)*60</f>
        <v>51.21425396825397</v>
      </c>
      <c r="AB34" s="23">
        <f>(L30/9000)*((21-L31)/21)*60</f>
        <v>46.264232804232805</v>
      </c>
    </row>
    <row r="35" spans="5:22" ht="12.75">
      <c r="E35" s="22"/>
      <c r="F35" s="23"/>
      <c r="G35" s="22"/>
      <c r="H35" s="23"/>
      <c r="I35" s="22"/>
      <c r="J35" s="23"/>
      <c r="K35" s="22"/>
      <c r="L35" s="23"/>
      <c r="T35" s="27"/>
      <c r="U35" s="22"/>
      <c r="V35" s="22"/>
    </row>
    <row r="36" spans="2:22" ht="12.75">
      <c r="B36" s="59" t="s">
        <v>99</v>
      </c>
      <c r="C36" s="59"/>
      <c r="E36" s="22"/>
      <c r="F36" s="23"/>
      <c r="G36" s="22"/>
      <c r="H36" s="23"/>
      <c r="I36" s="22"/>
      <c r="J36" s="23"/>
      <c r="K36" s="22"/>
      <c r="L36" s="23"/>
      <c r="T36" s="27"/>
      <c r="U36" s="22"/>
      <c r="V36" s="22"/>
    </row>
    <row r="37" spans="2:28" ht="12.75">
      <c r="B37" s="21" t="s">
        <v>30</v>
      </c>
      <c r="D37" s="21" t="s">
        <v>64</v>
      </c>
      <c r="E37" s="22"/>
      <c r="F37" s="23">
        <f>(F14*454/(F30*60*0.0283))*((21-7)/(21-F31))*1000</f>
        <v>10.92096008830239</v>
      </c>
      <c r="G37" s="22"/>
      <c r="H37" s="23">
        <f>(H14*454/(H30*60*0.0283))*((21-7)/(21-H31))*1000</f>
        <v>8.060640978213822</v>
      </c>
      <c r="I37" s="22"/>
      <c r="J37" s="23">
        <f>(J14*454/(J30*60*0.0283))*((21-7)/(21-J31))*1000</f>
        <v>18.33039777337717</v>
      </c>
      <c r="K37" s="22"/>
      <c r="L37" s="23">
        <f>(L14*454/(L30*60*0.0283))*((21-7)/(21-L31))*1000</f>
        <v>14.075727245112901</v>
      </c>
      <c r="N37" s="23">
        <f>(N14*454/(F30*60*0.0283))*((21-7)/(21-F31))*1000</f>
        <v>40.953600331133956</v>
      </c>
      <c r="P37" s="23">
        <f>(P14*454/(H30*60*0.0283))*((21-7)/(21-H31))*1000</f>
        <v>37.61632456499783</v>
      </c>
      <c r="R37" s="23">
        <f>(R14*454/(J30*60*0.0283))*((21-7)/(21-J31))*1000</f>
        <v>41.76546328111254</v>
      </c>
      <c r="T37" s="23">
        <f>(T14*454/(L30*60*0.0283))*((21-7)/(21-L31))*1000</f>
        <v>40.240826065712064</v>
      </c>
      <c r="U37" s="22"/>
      <c r="V37" s="23">
        <f>SUM(N37,F37)</f>
        <v>51.87456041943635</v>
      </c>
      <c r="X37" s="23">
        <f>SUM(P37,H37)</f>
        <v>45.67696554321165</v>
      </c>
      <c r="Z37" s="23">
        <f>SUM(R37,J37)</f>
        <v>60.09586105448971</v>
      </c>
      <c r="AB37" s="23">
        <f>SUM(T37,L37)</f>
        <v>54.316553310824965</v>
      </c>
    </row>
    <row r="38" spans="2:28" ht="12.75">
      <c r="B38" s="21" t="s">
        <v>31</v>
      </c>
      <c r="D38" s="21" t="s">
        <v>68</v>
      </c>
      <c r="E38" s="22"/>
      <c r="F38" s="24">
        <f>(F15*454/(F$30*60*0.0283))*(14/(21-F$31))*1000000</f>
        <v>925551.3674836272</v>
      </c>
      <c r="G38" s="22"/>
      <c r="H38" s="24">
        <f>(H15*454/(H$30*60*0.0283))*(14/(21-H$31))*1000000</f>
        <v>660972.5602135336</v>
      </c>
      <c r="I38" s="22"/>
      <c r="J38" s="24">
        <f>(J15*454/(J$30*60*0.0283))*(14/(21-J$31))*1000000</f>
        <v>223213.19820239034</v>
      </c>
      <c r="K38" s="22"/>
      <c r="L38" s="24">
        <f>(L15*454/(L$30*60*0.0283))*(14/(21-L$31))*1000000</f>
        <v>504825.44393330096</v>
      </c>
      <c r="N38" s="24">
        <f>(N15*454/(F$30*60*0.0283))*(14/(21-F$31))*1000000</f>
        <v>14743296.119208224</v>
      </c>
      <c r="P38" s="24">
        <f>(P15*454/(H$30*60*0.0283))*(14/(21-H$31))*1000000</f>
        <v>14240465.728177752</v>
      </c>
      <c r="R38" s="24">
        <f>(R15*454/(J$30*60*0.0283))*(14/(21-J$31))*1000000</f>
        <v>12065578.28121029</v>
      </c>
      <c r="T38" s="24">
        <f>(T15*454/(L$30*60*0.0283))*(14/(21-L$31))*1000000</f>
        <v>13613385.83925153</v>
      </c>
      <c r="U38" s="22"/>
      <c r="V38" s="23">
        <f>SUM(N38,F38)</f>
        <v>15668847.486691851</v>
      </c>
      <c r="X38" s="23">
        <f>SUM(P38,H38)</f>
        <v>14901438.288391287</v>
      </c>
      <c r="Z38" s="23">
        <f>SUM(R38,J38)</f>
        <v>12288791.47941268</v>
      </c>
      <c r="AB38" s="23">
        <f>SUM(T38,L38)</f>
        <v>14118211.28318483</v>
      </c>
    </row>
    <row r="39" spans="2:28" ht="12.75">
      <c r="B39" s="21" t="s">
        <v>127</v>
      </c>
      <c r="D39" s="21" t="s">
        <v>68</v>
      </c>
      <c r="E39" s="22"/>
      <c r="F39" s="23">
        <f aca="true" t="shared" si="0" ref="F39:H51">(F16/(F$30*60*0.0283))*(14/(21-F$31))*1000000</f>
        <v>90.206168130251</v>
      </c>
      <c r="G39" s="22"/>
      <c r="H39" s="23">
        <f t="shared" si="0"/>
        <v>65.10062464049344</v>
      </c>
      <c r="I39" s="22"/>
      <c r="J39" s="23">
        <f aca="true" t="shared" si="1" ref="J39:J51">(J16/(J$30*60*0.0283))*(14/(21-J$31))*1000000</f>
        <v>112.43761529423348</v>
      </c>
      <c r="K39" s="22"/>
      <c r="L39" s="23">
        <f aca="true" t="shared" si="2" ref="L39:L51">(L16/(L$30*60*0.0283))*(14/(21-L$31))*1000000</f>
        <v>111.73816404505764</v>
      </c>
      <c r="N39" s="27"/>
      <c r="P39" s="27"/>
      <c r="R39" s="27"/>
      <c r="T39" s="27"/>
      <c r="U39" s="22"/>
      <c r="V39" s="23">
        <f aca="true" t="shared" si="3" ref="V39:AB51">SUM(N39,F39)</f>
        <v>90.206168130251</v>
      </c>
      <c r="X39" s="23">
        <f t="shared" si="3"/>
        <v>65.10062464049344</v>
      </c>
      <c r="Z39" s="23">
        <f t="shared" si="3"/>
        <v>112.43761529423348</v>
      </c>
      <c r="AB39" s="23">
        <f t="shared" si="3"/>
        <v>111.73816404505764</v>
      </c>
    </row>
    <row r="40" spans="2:28" ht="12.75">
      <c r="B40" s="21" t="s">
        <v>122</v>
      </c>
      <c r="D40" s="21" t="s">
        <v>68</v>
      </c>
      <c r="E40" s="51">
        <v>100</v>
      </c>
      <c r="F40" s="23">
        <f t="shared" si="0"/>
        <v>30.068722710083666</v>
      </c>
      <c r="G40" s="51">
        <v>100</v>
      </c>
      <c r="H40" s="23">
        <f t="shared" si="0"/>
        <v>29.591193018406102</v>
      </c>
      <c r="I40" s="51">
        <v>100</v>
      </c>
      <c r="J40" s="23">
        <f t="shared" si="1"/>
        <v>25.55400347596215</v>
      </c>
      <c r="K40" s="51">
        <v>100</v>
      </c>
      <c r="L40" s="23">
        <f t="shared" si="2"/>
        <v>28.288142796217123</v>
      </c>
      <c r="N40" s="27"/>
      <c r="P40" s="27"/>
      <c r="R40" s="27"/>
      <c r="T40" s="27"/>
      <c r="U40" s="51">
        <v>100</v>
      </c>
      <c r="V40" s="23">
        <f t="shared" si="3"/>
        <v>30.068722710083666</v>
      </c>
      <c r="W40" s="51">
        <v>100</v>
      </c>
      <c r="X40" s="23">
        <f t="shared" si="3"/>
        <v>29.591193018406102</v>
      </c>
      <c r="Y40" s="51">
        <v>100</v>
      </c>
      <c r="Z40" s="23">
        <f t="shared" si="3"/>
        <v>25.55400347596215</v>
      </c>
      <c r="AA40" s="51">
        <v>100</v>
      </c>
      <c r="AB40" s="23">
        <f t="shared" si="3"/>
        <v>28.288142796217123</v>
      </c>
    </row>
    <row r="41" spans="2:28" ht="12.75">
      <c r="B41" s="21" t="s">
        <v>123</v>
      </c>
      <c r="D41" s="21" t="s">
        <v>68</v>
      </c>
      <c r="E41" s="22"/>
      <c r="F41" s="23">
        <f t="shared" si="0"/>
        <v>0.6013744542016733</v>
      </c>
      <c r="G41" s="22"/>
      <c r="H41" s="23">
        <f t="shared" si="0"/>
        <v>0.5918238603681221</v>
      </c>
      <c r="I41" s="22"/>
      <c r="J41" s="23">
        <f t="shared" si="1"/>
        <v>27.087243684519883</v>
      </c>
      <c r="K41" s="22"/>
      <c r="L41" s="23">
        <f t="shared" si="2"/>
        <v>16.859733106545406</v>
      </c>
      <c r="N41" s="27"/>
      <c r="P41" s="27"/>
      <c r="R41" s="27"/>
      <c r="T41" s="27"/>
      <c r="U41" s="22"/>
      <c r="V41" s="23">
        <f t="shared" si="3"/>
        <v>0.6013744542016733</v>
      </c>
      <c r="W41" s="22"/>
      <c r="X41" s="23">
        <f t="shared" si="3"/>
        <v>0.5918238603681221</v>
      </c>
      <c r="Y41" s="22"/>
      <c r="Z41" s="23">
        <f t="shared" si="3"/>
        <v>27.087243684519883</v>
      </c>
      <c r="AA41" s="22"/>
      <c r="AB41" s="23">
        <f t="shared" si="3"/>
        <v>16.859733106545406</v>
      </c>
    </row>
    <row r="42" spans="2:28" ht="12.75">
      <c r="B42" s="21" t="s">
        <v>124</v>
      </c>
      <c r="D42" s="21" t="s">
        <v>68</v>
      </c>
      <c r="E42" s="22"/>
      <c r="F42" s="23">
        <f t="shared" si="0"/>
        <v>46.90720742773052</v>
      </c>
      <c r="G42" s="22"/>
      <c r="H42" s="23">
        <f t="shared" si="0"/>
        <v>43.79496566724103</v>
      </c>
      <c r="I42" s="22"/>
      <c r="J42" s="23">
        <f t="shared" si="1"/>
        <v>0.3577560486634701</v>
      </c>
      <c r="K42" s="22"/>
      <c r="L42" s="23">
        <f t="shared" si="2"/>
        <v>21.725293667494753</v>
      </c>
      <c r="N42" s="27"/>
      <c r="P42" s="27"/>
      <c r="R42" s="27"/>
      <c r="T42" s="27"/>
      <c r="U42" s="22"/>
      <c r="V42" s="23">
        <f t="shared" si="3"/>
        <v>46.90720742773052</v>
      </c>
      <c r="W42" s="22"/>
      <c r="X42" s="23">
        <f t="shared" si="3"/>
        <v>43.79496566724103</v>
      </c>
      <c r="Y42" s="22"/>
      <c r="Z42" s="23">
        <f t="shared" si="3"/>
        <v>0.3577560486634701</v>
      </c>
      <c r="AA42" s="22"/>
      <c r="AB42" s="23">
        <f t="shared" si="3"/>
        <v>21.725293667494753</v>
      </c>
    </row>
    <row r="43" spans="2:28" ht="12.75">
      <c r="B43" s="21" t="s">
        <v>130</v>
      </c>
      <c r="D43" s="21" t="s">
        <v>68</v>
      </c>
      <c r="E43" s="22"/>
      <c r="F43" s="23">
        <f t="shared" si="0"/>
        <v>17.43985917184853</v>
      </c>
      <c r="G43" s="22"/>
      <c r="H43" s="23">
        <f t="shared" si="0"/>
        <v>14.203772648834928</v>
      </c>
      <c r="I43" s="22"/>
      <c r="J43" s="23">
        <f t="shared" si="1"/>
        <v>3.066480417115458</v>
      </c>
      <c r="K43" s="22"/>
      <c r="L43" s="23">
        <f t="shared" si="2"/>
        <v>9.221934551566783</v>
      </c>
      <c r="N43" s="27"/>
      <c r="P43" s="27"/>
      <c r="R43" s="27"/>
      <c r="T43" s="27"/>
      <c r="U43" s="22"/>
      <c r="V43" s="23">
        <f t="shared" si="3"/>
        <v>17.43985917184853</v>
      </c>
      <c r="W43" s="22"/>
      <c r="X43" s="23">
        <f t="shared" si="3"/>
        <v>14.203772648834928</v>
      </c>
      <c r="Y43" s="22"/>
      <c r="Z43" s="23">
        <f t="shared" si="3"/>
        <v>3.066480417115458</v>
      </c>
      <c r="AA43" s="22"/>
      <c r="AB43" s="23">
        <f t="shared" si="3"/>
        <v>9.221934551566783</v>
      </c>
    </row>
    <row r="44" spans="2:28" ht="12.75">
      <c r="B44" s="21" t="s">
        <v>132</v>
      </c>
      <c r="D44" s="21" t="s">
        <v>68</v>
      </c>
      <c r="F44" s="23">
        <f t="shared" si="0"/>
        <v>451.030840651255</v>
      </c>
      <c r="H44" s="23">
        <f t="shared" si="0"/>
        <v>272.23897576933615</v>
      </c>
      <c r="J44" s="23">
        <f t="shared" si="1"/>
        <v>424.19645770097173</v>
      </c>
      <c r="L44" s="23">
        <f t="shared" si="2"/>
        <v>397.44840628685057</v>
      </c>
      <c r="N44" s="23">
        <f>(N21/(F$30*60*0.0283))*(14/(21-F$31))*1000000</f>
        <v>306.7009716428534</v>
      </c>
      <c r="P44" s="23">
        <f>(P21/(H$30*60*0.0283))*(14/(21-H$31))*1000000</f>
        <v>301.83016878774225</v>
      </c>
      <c r="R44" s="23">
        <f>(R21/(J$30*60*0.0283))*(14/(21-J$31))*1000000</f>
        <v>260.6508354548139</v>
      </c>
      <c r="T44" s="23">
        <f>(T21/(L$30*60*0.0283))*(14/(21-L$31))*1000000</f>
        <v>288.53905652141464</v>
      </c>
      <c r="V44" s="23">
        <f t="shared" si="3"/>
        <v>757.7318122941084</v>
      </c>
      <c r="X44" s="23">
        <f t="shared" si="3"/>
        <v>574.0691445570784</v>
      </c>
      <c r="Z44" s="23">
        <f t="shared" si="3"/>
        <v>684.8472931557856</v>
      </c>
      <c r="AB44" s="23">
        <f t="shared" si="3"/>
        <v>685.9874628082653</v>
      </c>
    </row>
    <row r="45" spans="2:28" ht="12.75">
      <c r="B45" s="21" t="s">
        <v>128</v>
      </c>
      <c r="D45" s="21" t="s">
        <v>68</v>
      </c>
      <c r="E45" s="51">
        <v>100</v>
      </c>
      <c r="F45" s="23">
        <f t="shared" si="0"/>
        <v>60.13744542016733</v>
      </c>
      <c r="G45" s="51">
        <v>100</v>
      </c>
      <c r="H45" s="23">
        <f t="shared" si="0"/>
        <v>59.182386036812204</v>
      </c>
      <c r="I45" s="51">
        <v>100</v>
      </c>
      <c r="J45" s="23">
        <f t="shared" si="1"/>
        <v>51.1080069519243</v>
      </c>
      <c r="K45" s="51">
        <v>100</v>
      </c>
      <c r="L45" s="23">
        <f t="shared" si="2"/>
        <v>56.576285592434246</v>
      </c>
      <c r="N45" s="27"/>
      <c r="P45" s="27"/>
      <c r="R45" s="27"/>
      <c r="T45" s="27"/>
      <c r="U45" s="51">
        <v>100</v>
      </c>
      <c r="V45" s="23">
        <f t="shared" si="3"/>
        <v>60.13744542016733</v>
      </c>
      <c r="W45" s="51">
        <v>100</v>
      </c>
      <c r="X45" s="23">
        <f t="shared" si="3"/>
        <v>59.182386036812204</v>
      </c>
      <c r="Y45" s="51">
        <v>100</v>
      </c>
      <c r="Z45" s="23">
        <f t="shared" si="3"/>
        <v>51.1080069519243</v>
      </c>
      <c r="AA45" s="51">
        <v>100</v>
      </c>
      <c r="AB45" s="23">
        <f t="shared" si="3"/>
        <v>56.576285592434246</v>
      </c>
    </row>
    <row r="46" spans="2:28" ht="12.75">
      <c r="B46" s="21" t="s">
        <v>137</v>
      </c>
      <c r="D46" s="21" t="s">
        <v>68</v>
      </c>
      <c r="E46" s="51">
        <v>100</v>
      </c>
      <c r="F46" s="23">
        <f t="shared" si="0"/>
        <v>1.2027489084033467</v>
      </c>
      <c r="G46" s="51">
        <v>100</v>
      </c>
      <c r="H46" s="23">
        <f t="shared" si="0"/>
        <v>1.1836477207362441</v>
      </c>
      <c r="I46" s="51">
        <v>100</v>
      </c>
      <c r="J46" s="23">
        <f t="shared" si="1"/>
        <v>1.022160139038486</v>
      </c>
      <c r="K46" s="51">
        <v>100</v>
      </c>
      <c r="L46" s="23">
        <f t="shared" si="2"/>
        <v>1.131525711848685</v>
      </c>
      <c r="N46" s="27"/>
      <c r="P46" s="27"/>
      <c r="R46" s="27"/>
      <c r="T46" s="27"/>
      <c r="U46" s="51">
        <v>100</v>
      </c>
      <c r="V46" s="23">
        <f t="shared" si="3"/>
        <v>1.2027489084033467</v>
      </c>
      <c r="W46" s="51">
        <v>100</v>
      </c>
      <c r="X46" s="23">
        <f t="shared" si="3"/>
        <v>1.1836477207362441</v>
      </c>
      <c r="Y46" s="51">
        <v>100</v>
      </c>
      <c r="Z46" s="23">
        <f t="shared" si="3"/>
        <v>1.022160139038486</v>
      </c>
      <c r="AA46" s="51">
        <v>100</v>
      </c>
      <c r="AB46" s="23">
        <f t="shared" si="3"/>
        <v>1.131525711848685</v>
      </c>
    </row>
    <row r="47" spans="2:28" ht="12.75">
      <c r="B47" s="21" t="s">
        <v>129</v>
      </c>
      <c r="D47" s="21" t="s">
        <v>68</v>
      </c>
      <c r="F47" s="23">
        <f t="shared" si="0"/>
        <v>348.79718343697056</v>
      </c>
      <c r="H47" s="23">
        <f t="shared" si="0"/>
        <v>224.8930669398864</v>
      </c>
      <c r="J47" s="23">
        <f t="shared" si="1"/>
        <v>971.0521320865618</v>
      </c>
      <c r="L47" s="23">
        <f t="shared" si="2"/>
        <v>673.2577985499674</v>
      </c>
      <c r="N47" s="27"/>
      <c r="P47" s="27"/>
      <c r="R47" s="27"/>
      <c r="T47" s="27"/>
      <c r="V47" s="23">
        <f t="shared" si="3"/>
        <v>348.79718343697056</v>
      </c>
      <c r="X47" s="23">
        <f t="shared" si="3"/>
        <v>224.8930669398864</v>
      </c>
      <c r="Z47" s="23">
        <f t="shared" si="3"/>
        <v>971.0521320865618</v>
      </c>
      <c r="AB47" s="23">
        <f t="shared" si="3"/>
        <v>673.2577985499674</v>
      </c>
    </row>
    <row r="48" spans="2:28" ht="12.75">
      <c r="B48" s="21" t="s">
        <v>210</v>
      </c>
      <c r="D48" s="21" t="s">
        <v>68</v>
      </c>
      <c r="F48" s="23">
        <f t="shared" si="0"/>
        <v>156.35735809243508</v>
      </c>
      <c r="H48" s="23">
        <f t="shared" si="0"/>
        <v>94.69181765889954</v>
      </c>
      <c r="J48" s="23">
        <f t="shared" si="1"/>
        <v>189.09962572211995</v>
      </c>
      <c r="L48" s="23">
        <f t="shared" si="2"/>
        <v>175.38648533654614</v>
      </c>
      <c r="N48" s="27"/>
      <c r="P48" s="27"/>
      <c r="R48" s="27"/>
      <c r="T48" s="27"/>
      <c r="V48" s="23">
        <f t="shared" si="3"/>
        <v>156.35735809243508</v>
      </c>
      <c r="X48" s="23">
        <f t="shared" si="3"/>
        <v>94.69181765889954</v>
      </c>
      <c r="Z48" s="23">
        <f t="shared" si="3"/>
        <v>189.09962572211995</v>
      </c>
      <c r="AB48" s="23">
        <f t="shared" si="3"/>
        <v>175.38648533654614</v>
      </c>
    </row>
    <row r="49" spans="2:28" ht="12.75">
      <c r="B49" s="21" t="s">
        <v>131</v>
      </c>
      <c r="D49" s="21" t="s">
        <v>68</v>
      </c>
      <c r="E49" s="51">
        <v>100</v>
      </c>
      <c r="F49" s="23">
        <f t="shared" si="0"/>
        <v>6.013744542016734</v>
      </c>
      <c r="G49" s="51">
        <v>100</v>
      </c>
      <c r="H49" s="23">
        <f t="shared" si="0"/>
        <v>5.918238603681221</v>
      </c>
      <c r="I49" s="51">
        <v>100</v>
      </c>
      <c r="J49" s="23">
        <f t="shared" si="1"/>
        <v>15.332402085577288</v>
      </c>
      <c r="K49" s="51">
        <v>100</v>
      </c>
      <c r="L49" s="23">
        <f t="shared" si="2"/>
        <v>11.31525711848685</v>
      </c>
      <c r="N49" s="27"/>
      <c r="P49" s="27"/>
      <c r="R49" s="27"/>
      <c r="T49" s="27"/>
      <c r="U49" s="51">
        <v>100</v>
      </c>
      <c r="V49" s="23">
        <f t="shared" si="3"/>
        <v>6.013744542016734</v>
      </c>
      <c r="W49" s="51">
        <v>100</v>
      </c>
      <c r="X49" s="23">
        <f t="shared" si="3"/>
        <v>5.918238603681221</v>
      </c>
      <c r="Y49" s="51">
        <v>100</v>
      </c>
      <c r="Z49" s="23">
        <f t="shared" si="3"/>
        <v>15.332402085577288</v>
      </c>
      <c r="AA49" s="51">
        <v>100</v>
      </c>
      <c r="AB49" s="23">
        <f t="shared" si="3"/>
        <v>11.31525711848685</v>
      </c>
    </row>
    <row r="50" spans="2:28" ht="12.75">
      <c r="B50" s="21" t="s">
        <v>126</v>
      </c>
      <c r="D50" s="21" t="s">
        <v>68</v>
      </c>
      <c r="E50" s="51">
        <v>100</v>
      </c>
      <c r="F50" s="23">
        <f t="shared" si="0"/>
        <v>30.068722710083666</v>
      </c>
      <c r="G50" s="51">
        <v>100</v>
      </c>
      <c r="H50" s="23">
        <f t="shared" si="0"/>
        <v>29.591193018406102</v>
      </c>
      <c r="I50" s="51">
        <v>100</v>
      </c>
      <c r="J50" s="23">
        <f t="shared" si="1"/>
        <v>35.77560486634702</v>
      </c>
      <c r="K50" s="51">
        <v>100</v>
      </c>
      <c r="L50" s="23">
        <f t="shared" si="2"/>
        <v>33.94577135546055</v>
      </c>
      <c r="N50" s="27"/>
      <c r="P50" s="27"/>
      <c r="R50" s="27"/>
      <c r="T50" s="27"/>
      <c r="U50" s="51">
        <v>100</v>
      </c>
      <c r="V50" s="23">
        <f t="shared" si="3"/>
        <v>30.068722710083666</v>
      </c>
      <c r="W50" s="51">
        <v>100</v>
      </c>
      <c r="X50" s="23">
        <f t="shared" si="3"/>
        <v>29.591193018406102</v>
      </c>
      <c r="Y50" s="51">
        <v>100</v>
      </c>
      <c r="Z50" s="23">
        <f t="shared" si="3"/>
        <v>35.77560486634702</v>
      </c>
      <c r="AA50" s="51">
        <v>100</v>
      </c>
      <c r="AB50" s="23">
        <f t="shared" si="3"/>
        <v>33.94577135546055</v>
      </c>
    </row>
    <row r="51" spans="2:28" ht="12.75">
      <c r="B51" s="21" t="s">
        <v>125</v>
      </c>
      <c r="D51" s="21" t="s">
        <v>68</v>
      </c>
      <c r="E51" s="22"/>
      <c r="F51" s="23">
        <f t="shared" si="0"/>
        <v>22.852229259663588</v>
      </c>
      <c r="G51" s="22"/>
      <c r="H51" s="23">
        <f t="shared" si="0"/>
        <v>49.71320427092225</v>
      </c>
      <c r="I51" s="22"/>
      <c r="J51" s="23">
        <f t="shared" si="1"/>
        <v>30.153724101635337</v>
      </c>
      <c r="K51" s="22"/>
      <c r="L51" s="23">
        <f t="shared" si="2"/>
        <v>28.174990225032257</v>
      </c>
      <c r="N51" s="27"/>
      <c r="P51" s="27"/>
      <c r="R51" s="27"/>
      <c r="T51" s="27"/>
      <c r="U51" s="22"/>
      <c r="V51" s="23">
        <f t="shared" si="3"/>
        <v>22.852229259663588</v>
      </c>
      <c r="W51" s="22"/>
      <c r="X51" s="23">
        <f t="shared" si="3"/>
        <v>49.71320427092225</v>
      </c>
      <c r="Y51" s="22"/>
      <c r="Z51" s="23">
        <f t="shared" si="3"/>
        <v>30.153724101635337</v>
      </c>
      <c r="AA51" s="22"/>
      <c r="AB51" s="23">
        <f t="shared" si="3"/>
        <v>28.174990225032257</v>
      </c>
    </row>
    <row r="52" spans="2:28" ht="12.75">
      <c r="B52" s="21" t="s">
        <v>61</v>
      </c>
      <c r="D52" s="21" t="s">
        <v>68</v>
      </c>
      <c r="E52" s="22">
        <f>F45/F52*100</f>
        <v>77.51937984496124</v>
      </c>
      <c r="F52" s="23">
        <f>(F43+F45)</f>
        <v>77.57730459201586</v>
      </c>
      <c r="G52" s="22">
        <f>H45/H52*100</f>
        <v>80.64516129032259</v>
      </c>
      <c r="H52" s="23">
        <f>(H43+H45)</f>
        <v>73.38615868564713</v>
      </c>
      <c r="I52" s="22">
        <f>J45/J52*100</f>
        <v>94.33962264150944</v>
      </c>
      <c r="J52" s="23">
        <f>(J43+J45)</f>
        <v>54.17448736903976</v>
      </c>
      <c r="K52" s="22">
        <f>L45/L52*100</f>
        <v>85.98452278589855</v>
      </c>
      <c r="L52" s="23">
        <f>(L43+L45)</f>
        <v>65.79822014400102</v>
      </c>
      <c r="N52" s="27"/>
      <c r="P52" s="27"/>
      <c r="R52" s="27"/>
      <c r="T52" s="27"/>
      <c r="U52" s="22">
        <f>V45/V52*100</f>
        <v>77.51937984496124</v>
      </c>
      <c r="V52" s="23">
        <f>SUM(N52,F52)</f>
        <v>77.57730459201586</v>
      </c>
      <c r="W52" s="22">
        <f>X45/X52*100</f>
        <v>80.64516129032259</v>
      </c>
      <c r="X52" s="23">
        <f>SUM(P52,H52)</f>
        <v>73.38615868564713</v>
      </c>
      <c r="Y52" s="22">
        <f>Z45/Z52*100</f>
        <v>94.33962264150944</v>
      </c>
      <c r="Z52" s="23">
        <f>SUM(R52,J52)</f>
        <v>54.17448736903976</v>
      </c>
      <c r="AA52" s="22">
        <f>AB45/AB52*100</f>
        <v>85.98452278589855</v>
      </c>
      <c r="AB52" s="23">
        <f>SUM(T52,L52)</f>
        <v>65.79822014400102</v>
      </c>
    </row>
    <row r="53" spans="2:28" ht="12.75">
      <c r="B53" s="21" t="s">
        <v>62</v>
      </c>
      <c r="D53" s="21" t="s">
        <v>68</v>
      </c>
      <c r="E53" s="22">
        <f>F40/F53*100</f>
        <v>5.694760820045559</v>
      </c>
      <c r="F53" s="23">
        <f>(F40+F42+F44)</f>
        <v>528.0067707890692</v>
      </c>
      <c r="G53" s="22">
        <f>H40/H53*100</f>
        <v>8.56164383561644</v>
      </c>
      <c r="H53" s="23">
        <f>(H40+H42+H44)</f>
        <v>345.62513445498325</v>
      </c>
      <c r="I53" s="22">
        <f>J40/J53*100</f>
        <v>5.677302146020211</v>
      </c>
      <c r="J53" s="23">
        <f>(J40+J42+J44)</f>
        <v>450.10821722559734</v>
      </c>
      <c r="K53" s="22">
        <f>L40/L53*100</f>
        <v>6.321911746112025</v>
      </c>
      <c r="L53" s="23">
        <f>(L40+L42+L44)</f>
        <v>447.4618427505624</v>
      </c>
      <c r="N53" s="23">
        <f>N44</f>
        <v>306.7009716428534</v>
      </c>
      <c r="P53" s="23">
        <f>P44</f>
        <v>301.83016878774225</v>
      </c>
      <c r="R53" s="23">
        <f>R44</f>
        <v>260.6508354548139</v>
      </c>
      <c r="T53" s="23">
        <f>T44</f>
        <v>288.53905652141464</v>
      </c>
      <c r="U53" s="22">
        <f>V40/V53*100</f>
        <v>3.602305475504323</v>
      </c>
      <c r="V53" s="23">
        <f>SUM(N53,F53)</f>
        <v>834.7077424319225</v>
      </c>
      <c r="W53" s="22">
        <f>X40/X53*100</f>
        <v>4.570383912248629</v>
      </c>
      <c r="X53" s="23">
        <f>SUM(P53,H53)</f>
        <v>647.4553032427254</v>
      </c>
      <c r="Y53" s="22">
        <f>Z40/Z53*100</f>
        <v>3.595311713525563</v>
      </c>
      <c r="Z53" s="23">
        <f>SUM(R53,J53)</f>
        <v>710.7590526804113</v>
      </c>
      <c r="AA53" s="22">
        <f>AB40/AB53*100</f>
        <v>3.8434929664078723</v>
      </c>
      <c r="AB53" s="23">
        <f>SUM(T53,L53)</f>
        <v>736.000899271977</v>
      </c>
    </row>
    <row r="54" spans="12:22" ht="12.75">
      <c r="L54" s="26"/>
      <c r="T54" s="27"/>
      <c r="U54" s="22"/>
      <c r="V54" s="22"/>
    </row>
    <row r="55" spans="12:22" ht="12.75">
      <c r="L55" s="26"/>
      <c r="T55" s="27"/>
      <c r="U55" s="22"/>
      <c r="V55" s="22"/>
    </row>
    <row r="56" spans="1:20" ht="12.75">
      <c r="A56" s="51" t="s">
        <v>135</v>
      </c>
      <c r="B56" s="50" t="s">
        <v>134</v>
      </c>
      <c r="C56" s="50" t="s">
        <v>111</v>
      </c>
      <c r="F56" s="51" t="s">
        <v>224</v>
      </c>
      <c r="H56" s="51" t="s">
        <v>225</v>
      </c>
      <c r="J56" s="51" t="s">
        <v>226</v>
      </c>
      <c r="L56" s="25" t="s">
        <v>77</v>
      </c>
      <c r="N56" s="51" t="s">
        <v>224</v>
      </c>
      <c r="P56" s="51" t="s">
        <v>225</v>
      </c>
      <c r="R56" s="51" t="s">
        <v>226</v>
      </c>
      <c r="T56" s="25" t="s">
        <v>77</v>
      </c>
    </row>
    <row r="57" spans="2:20" ht="12.75">
      <c r="B57" s="50"/>
      <c r="C57" s="50"/>
      <c r="T57" s="25"/>
    </row>
    <row r="58" spans="2:20" ht="12.75">
      <c r="B58" s="21" t="s">
        <v>227</v>
      </c>
      <c r="C58" s="50"/>
      <c r="E58" s="22"/>
      <c r="F58" s="22" t="s">
        <v>229</v>
      </c>
      <c r="G58" s="22"/>
      <c r="H58" s="22" t="s">
        <v>229</v>
      </c>
      <c r="I58" s="22"/>
      <c r="J58" s="22" t="s">
        <v>229</v>
      </c>
      <c r="K58" s="22"/>
      <c r="L58" s="25" t="s">
        <v>229</v>
      </c>
      <c r="N58" s="51" t="s">
        <v>230</v>
      </c>
      <c r="P58" s="51" t="s">
        <v>230</v>
      </c>
      <c r="R58" s="51" t="s">
        <v>230</v>
      </c>
      <c r="T58" s="51" t="s">
        <v>230</v>
      </c>
    </row>
    <row r="59" spans="2:20" ht="12.75">
      <c r="B59" s="21" t="s">
        <v>228</v>
      </c>
      <c r="E59" s="22"/>
      <c r="F59" s="22" t="s">
        <v>232</v>
      </c>
      <c r="G59" s="22"/>
      <c r="H59" s="22" t="s">
        <v>232</v>
      </c>
      <c r="I59" s="22"/>
      <c r="J59" s="22" t="s">
        <v>232</v>
      </c>
      <c r="K59" s="22"/>
      <c r="L59" s="22" t="s">
        <v>232</v>
      </c>
      <c r="N59" s="51" t="s">
        <v>152</v>
      </c>
      <c r="P59" s="51" t="s">
        <v>152</v>
      </c>
      <c r="R59" s="51" t="s">
        <v>152</v>
      </c>
      <c r="T59" s="51" t="s">
        <v>152</v>
      </c>
    </row>
    <row r="60" spans="2:20" ht="12.75">
      <c r="B60" s="21" t="s">
        <v>233</v>
      </c>
      <c r="E60" s="22"/>
      <c r="F60" s="22" t="s">
        <v>60</v>
      </c>
      <c r="G60" s="22"/>
      <c r="H60" s="22" t="s">
        <v>60</v>
      </c>
      <c r="I60" s="22"/>
      <c r="J60" s="22" t="s">
        <v>60</v>
      </c>
      <c r="K60" s="22"/>
      <c r="L60" s="22" t="s">
        <v>60</v>
      </c>
      <c r="N60" s="51" t="s">
        <v>152</v>
      </c>
      <c r="P60" s="51" t="s">
        <v>152</v>
      </c>
      <c r="R60" s="51" t="s">
        <v>152</v>
      </c>
      <c r="T60" s="51" t="s">
        <v>152</v>
      </c>
    </row>
    <row r="61" spans="2:21" ht="12.75">
      <c r="B61" s="21" t="s">
        <v>26</v>
      </c>
      <c r="F61" s="22" t="s">
        <v>84</v>
      </c>
      <c r="H61" s="22" t="s">
        <v>84</v>
      </c>
      <c r="J61" s="22" t="s">
        <v>84</v>
      </c>
      <c r="L61" s="22" t="s">
        <v>84</v>
      </c>
      <c r="N61" s="51" t="s">
        <v>152</v>
      </c>
      <c r="P61" s="51" t="s">
        <v>152</v>
      </c>
      <c r="R61" s="51" t="s">
        <v>152</v>
      </c>
      <c r="T61" s="51" t="s">
        <v>152</v>
      </c>
      <c r="U61" s="22"/>
    </row>
    <row r="62" spans="2:21" ht="12.75">
      <c r="B62" s="21" t="s">
        <v>138</v>
      </c>
      <c r="D62" s="21" t="s">
        <v>42</v>
      </c>
      <c r="F62" s="51">
        <v>2000</v>
      </c>
      <c r="H62" s="51">
        <v>2000</v>
      </c>
      <c r="J62" s="51">
        <v>1999</v>
      </c>
      <c r="L62" s="23">
        <v>1999.5</v>
      </c>
      <c r="T62" s="54"/>
      <c r="U62" s="22"/>
    </row>
    <row r="63" spans="2:21" ht="12.75">
      <c r="B63" s="21" t="s">
        <v>136</v>
      </c>
      <c r="D63" s="21" t="s">
        <v>45</v>
      </c>
      <c r="F63" s="51">
        <v>22.4</v>
      </c>
      <c r="H63" s="51">
        <v>22.3</v>
      </c>
      <c r="J63" s="51">
        <v>22.2</v>
      </c>
      <c r="L63" s="23">
        <v>22.3</v>
      </c>
      <c r="N63" s="51">
        <f>F63</f>
        <v>22.4</v>
      </c>
      <c r="P63" s="51">
        <f>H63</f>
        <v>22.3</v>
      </c>
      <c r="R63" s="51">
        <f>J63</f>
        <v>22.2</v>
      </c>
      <c r="T63" s="51">
        <f>L63</f>
        <v>22.3</v>
      </c>
      <c r="U63" s="22"/>
    </row>
    <row r="64" spans="2:21" ht="12.75">
      <c r="B64" s="21" t="s">
        <v>32</v>
      </c>
      <c r="D64" s="21" t="s">
        <v>33</v>
      </c>
      <c r="F64" s="51">
        <v>334</v>
      </c>
      <c r="H64" s="51">
        <v>176.5</v>
      </c>
      <c r="J64" s="51">
        <v>96</v>
      </c>
      <c r="L64" s="25">
        <v>202.167</v>
      </c>
      <c r="U64" s="22"/>
    </row>
    <row r="65" spans="2:21" ht="12.75">
      <c r="B65" s="21" t="s">
        <v>28</v>
      </c>
      <c r="D65" s="21" t="s">
        <v>29</v>
      </c>
      <c r="F65" s="33">
        <v>11210</v>
      </c>
      <c r="H65" s="33">
        <v>11130</v>
      </c>
      <c r="J65" s="33">
        <v>11100</v>
      </c>
      <c r="L65" s="23">
        <v>11146.7</v>
      </c>
      <c r="U65" s="22"/>
    </row>
    <row r="66" spans="2:22" ht="12.75">
      <c r="B66" s="21" t="s">
        <v>43</v>
      </c>
      <c r="D66" s="21" t="s">
        <v>44</v>
      </c>
      <c r="E66" s="22"/>
      <c r="F66" s="25">
        <v>10.7</v>
      </c>
      <c r="G66" s="25"/>
      <c r="H66" s="25">
        <v>10.6</v>
      </c>
      <c r="I66" s="25"/>
      <c r="J66" s="25">
        <v>10.5</v>
      </c>
      <c r="K66" s="22"/>
      <c r="L66" s="25">
        <v>10.6</v>
      </c>
      <c r="M66" s="22"/>
      <c r="N66" s="22"/>
      <c r="O66" s="22"/>
      <c r="P66" s="22"/>
      <c r="Q66" s="22"/>
      <c r="R66" s="22"/>
      <c r="S66" s="22"/>
      <c r="T66" s="22"/>
      <c r="U66" s="22"/>
      <c r="V66" s="22"/>
    </row>
    <row r="67" spans="2:22" ht="12.75">
      <c r="B67" s="21" t="s">
        <v>30</v>
      </c>
      <c r="D67" s="21" t="s">
        <v>42</v>
      </c>
      <c r="E67" s="22"/>
      <c r="F67" s="25">
        <v>1.2</v>
      </c>
      <c r="G67" s="25"/>
      <c r="H67" s="25">
        <v>1.1</v>
      </c>
      <c r="I67" s="25"/>
      <c r="J67" s="25">
        <v>1</v>
      </c>
      <c r="K67" s="22"/>
      <c r="L67" s="23">
        <v>1.1</v>
      </c>
      <c r="M67" s="22"/>
      <c r="N67" s="22"/>
      <c r="O67" s="22"/>
      <c r="P67" s="22"/>
      <c r="Q67" s="22"/>
      <c r="R67" s="22"/>
      <c r="S67" s="22"/>
      <c r="T67" s="25"/>
      <c r="U67" s="22"/>
      <c r="V67" s="25"/>
    </row>
    <row r="68" spans="2:22" ht="12.75">
      <c r="B68" s="21" t="s">
        <v>31</v>
      </c>
      <c r="D68" s="21" t="s">
        <v>42</v>
      </c>
      <c r="E68" s="22"/>
      <c r="F68" s="25">
        <v>50.6</v>
      </c>
      <c r="G68" s="25"/>
      <c r="H68" s="25">
        <v>52.2</v>
      </c>
      <c r="I68" s="25"/>
      <c r="J68" s="25">
        <v>50.8</v>
      </c>
      <c r="K68" s="22"/>
      <c r="L68" s="23">
        <v>51.2</v>
      </c>
      <c r="M68" s="22"/>
      <c r="N68" s="22"/>
      <c r="O68" s="22"/>
      <c r="P68" s="22"/>
      <c r="Q68" s="22"/>
      <c r="R68" s="22"/>
      <c r="S68" s="22"/>
      <c r="T68" s="25"/>
      <c r="U68" s="22"/>
      <c r="V68" s="25"/>
    </row>
    <row r="69" spans="5:22" ht="12.75">
      <c r="E69" s="22"/>
      <c r="F69" s="22"/>
      <c r="G69" s="22"/>
      <c r="H69" s="22"/>
      <c r="I69" s="22"/>
      <c r="J69" s="22"/>
      <c r="K69" s="22"/>
      <c r="M69" s="22"/>
      <c r="N69" s="22"/>
      <c r="O69" s="22"/>
      <c r="P69" s="22"/>
      <c r="Q69" s="22"/>
      <c r="R69" s="22"/>
      <c r="S69" s="22"/>
      <c r="T69" s="25"/>
      <c r="U69" s="22"/>
      <c r="V69" s="22"/>
    </row>
    <row r="70" spans="2:22" ht="12.75">
      <c r="B70" s="21" t="s">
        <v>69</v>
      </c>
      <c r="D70" s="21" t="s">
        <v>22</v>
      </c>
      <c r="E70" s="22"/>
      <c r="F70" s="25">
        <f>emiss!G44</f>
        <v>10745</v>
      </c>
      <c r="G70" s="22"/>
      <c r="H70" s="25">
        <f>emiss!I44</f>
        <v>11197</v>
      </c>
      <c r="I70" s="22"/>
      <c r="J70" s="25">
        <f>emiss!K44</f>
        <v>11097</v>
      </c>
      <c r="K70" s="22"/>
      <c r="L70" s="25">
        <f>emiss!M44</f>
        <v>11013</v>
      </c>
      <c r="M70" s="22"/>
      <c r="N70" s="22"/>
      <c r="O70" s="22"/>
      <c r="P70" s="22"/>
      <c r="Q70" s="22"/>
      <c r="R70" s="22"/>
      <c r="S70" s="22"/>
      <c r="T70" s="25"/>
      <c r="U70" s="22"/>
      <c r="V70" s="22"/>
    </row>
    <row r="71" spans="2:22" ht="12.75">
      <c r="B71" s="21" t="s">
        <v>70</v>
      </c>
      <c r="D71" s="21" t="s">
        <v>23</v>
      </c>
      <c r="E71" s="22"/>
      <c r="F71" s="25">
        <f>emiss!G23</f>
        <v>3.7</v>
      </c>
      <c r="G71" s="22"/>
      <c r="H71" s="25">
        <f>emiss!I23</f>
        <v>4</v>
      </c>
      <c r="I71" s="22"/>
      <c r="J71" s="25">
        <f>emiss!K23</f>
        <v>2.3</v>
      </c>
      <c r="K71" s="22"/>
      <c r="L71" s="23">
        <f>emiss!M23</f>
        <v>3.3333333333333335</v>
      </c>
      <c r="M71" s="22"/>
      <c r="N71" s="22"/>
      <c r="O71" s="22"/>
      <c r="P71" s="22"/>
      <c r="Q71" s="22"/>
      <c r="R71" s="22"/>
      <c r="S71" s="22"/>
      <c r="T71" s="25"/>
      <c r="U71" s="22"/>
      <c r="V71" s="22"/>
    </row>
    <row r="72" spans="5:26" ht="12.75">
      <c r="E72" s="22"/>
      <c r="F72" s="22"/>
      <c r="G72" s="22"/>
      <c r="H72" s="22"/>
      <c r="I72" s="22"/>
      <c r="J72" s="22"/>
      <c r="K72" s="22"/>
      <c r="T72" s="25"/>
      <c r="V72" s="25"/>
      <c r="X72" s="25"/>
      <c r="Z72" s="25"/>
    </row>
    <row r="73" spans="2:20" ht="12.75">
      <c r="B73" s="21" t="s">
        <v>71</v>
      </c>
      <c r="D73" s="21" t="s">
        <v>45</v>
      </c>
      <c r="E73" s="22"/>
      <c r="L73" s="51"/>
      <c r="N73" s="23">
        <f>(F70/9000)*((21-F71)/21)*60</f>
        <v>59.012222222222235</v>
      </c>
      <c r="O73" s="22"/>
      <c r="P73" s="23">
        <f>(H70/9000)*((21-H71)/21)*60</f>
        <v>60.42825396825397</v>
      </c>
      <c r="Q73" s="22"/>
      <c r="R73" s="23">
        <f>(J70/9000)*((21-J71)/21)*60</f>
        <v>65.87742857142857</v>
      </c>
      <c r="S73" s="22"/>
      <c r="T73" s="23">
        <f>(L70/9000)*((21-L71)/21)*60</f>
        <v>61.76603174603174</v>
      </c>
    </row>
    <row r="74" spans="5:12" ht="12.75">
      <c r="E74" s="22"/>
      <c r="F74" s="23"/>
      <c r="G74" s="22"/>
      <c r="H74" s="23"/>
      <c r="I74" s="22"/>
      <c r="J74" s="23"/>
      <c r="K74" s="22"/>
      <c r="L74" s="23"/>
    </row>
    <row r="75" spans="2:12" ht="12.75">
      <c r="B75" s="59" t="s">
        <v>99</v>
      </c>
      <c r="C75" s="59"/>
      <c r="E75" s="22"/>
      <c r="F75" s="23"/>
      <c r="G75" s="22"/>
      <c r="H75" s="23"/>
      <c r="I75" s="22"/>
      <c r="J75" s="23"/>
      <c r="K75" s="22"/>
      <c r="L75" s="23"/>
    </row>
    <row r="76" spans="2:20" ht="12.75">
      <c r="B76" s="21" t="s">
        <v>30</v>
      </c>
      <c r="D76" s="21" t="s">
        <v>64</v>
      </c>
      <c r="E76" s="22"/>
      <c r="F76" s="23">
        <f>(F67*454/(F70*60*0.0283))*(14/(21-F71))*1000</f>
        <v>24.164339329864053</v>
      </c>
      <c r="G76" s="22"/>
      <c r="H76" s="23">
        <f>(H67*454/(H70*60*0.0283))*(14/(21-H71))*1000</f>
        <v>21.63158229826695</v>
      </c>
      <c r="I76" s="22"/>
      <c r="J76" s="23">
        <f>(J67*454/(J70*60*0.0283))*(14/(21-J71))*1000</f>
        <v>18.038441406894652</v>
      </c>
      <c r="K76" s="22"/>
      <c r="L76" s="23">
        <f>(L67*454/(L70*60*0.0283))*(14/(21-L71))*1000</f>
        <v>21.16306830637282</v>
      </c>
      <c r="N76" s="54">
        <f>F76</f>
        <v>24.164339329864053</v>
      </c>
      <c r="P76" s="54">
        <f>H76</f>
        <v>21.63158229826695</v>
      </c>
      <c r="R76" s="54">
        <f>J76</f>
        <v>18.038441406894652</v>
      </c>
      <c r="T76" s="54">
        <f>L76</f>
        <v>21.16306830637282</v>
      </c>
    </row>
    <row r="77" spans="2:20" ht="12.75">
      <c r="B77" s="21" t="s">
        <v>31</v>
      </c>
      <c r="D77" s="21" t="s">
        <v>68</v>
      </c>
      <c r="E77" s="22"/>
      <c r="F77" s="23">
        <f>(F68*454/(F70*60*0.0283))*(14/(21-F71))*1000000</f>
        <v>1018929.6417426011</v>
      </c>
      <c r="G77" s="22"/>
      <c r="H77" s="23">
        <f>(H68*454/(H70*60*0.0283))*(14/(21-H71))*1000000</f>
        <v>1026516.90542685</v>
      </c>
      <c r="I77" s="22"/>
      <c r="J77" s="23">
        <f>(J68*454/(J70*60*0.0283))*(14/(21-J71))*1000000</f>
        <v>916352.823470248</v>
      </c>
      <c r="K77" s="22"/>
      <c r="L77" s="23">
        <f>(L68*454/(L70*60*0.0283))*(14/(21-L71))*1000000</f>
        <v>985044.6338966258</v>
      </c>
      <c r="N77" s="54">
        <f>F77</f>
        <v>1018929.6417426011</v>
      </c>
      <c r="P77" s="54">
        <f>H77</f>
        <v>1026516.90542685</v>
      </c>
      <c r="R77" s="54">
        <f>J77</f>
        <v>916352.823470248</v>
      </c>
      <c r="T77" s="54">
        <f>L77</f>
        <v>985044.6338966258</v>
      </c>
    </row>
    <row r="78" spans="5:12" ht="12.75">
      <c r="E78" s="22"/>
      <c r="F78" s="22"/>
      <c r="G78" s="22"/>
      <c r="H78" s="22"/>
      <c r="I78" s="22"/>
      <c r="J78" s="22"/>
      <c r="K78" s="22"/>
      <c r="L78" s="23"/>
    </row>
    <row r="79" spans="1:20" ht="12.75">
      <c r="A79" s="51" t="s">
        <v>135</v>
      </c>
      <c r="B79" s="50" t="s">
        <v>181</v>
      </c>
      <c r="C79" s="50" t="s">
        <v>142</v>
      </c>
      <c r="E79" s="22"/>
      <c r="F79" s="51" t="s">
        <v>224</v>
      </c>
      <c r="H79" s="51" t="s">
        <v>225</v>
      </c>
      <c r="J79" s="51" t="s">
        <v>226</v>
      </c>
      <c r="L79" s="25" t="s">
        <v>77</v>
      </c>
      <c r="N79" s="51" t="s">
        <v>224</v>
      </c>
      <c r="P79" s="51" t="s">
        <v>225</v>
      </c>
      <c r="R79" s="51" t="s">
        <v>226</v>
      </c>
      <c r="T79" s="25" t="s">
        <v>77</v>
      </c>
    </row>
    <row r="80" spans="2:12" ht="12.75">
      <c r="B80" s="50"/>
      <c r="C80" s="50"/>
      <c r="E80" s="22"/>
      <c r="F80" s="22"/>
      <c r="G80" s="22"/>
      <c r="H80" s="22"/>
      <c r="I80" s="22"/>
      <c r="J80" s="22"/>
      <c r="K80" s="22"/>
      <c r="L80" s="23"/>
    </row>
    <row r="81" spans="2:20" ht="12.75">
      <c r="B81" s="21" t="s">
        <v>227</v>
      </c>
      <c r="C81" s="50"/>
      <c r="E81" s="22"/>
      <c r="F81" s="22" t="s">
        <v>229</v>
      </c>
      <c r="G81" s="22"/>
      <c r="H81" s="22" t="s">
        <v>229</v>
      </c>
      <c r="I81" s="22"/>
      <c r="J81" s="22" t="s">
        <v>229</v>
      </c>
      <c r="K81" s="22"/>
      <c r="L81" s="25" t="s">
        <v>229</v>
      </c>
      <c r="N81" s="51" t="s">
        <v>230</v>
      </c>
      <c r="P81" s="51" t="s">
        <v>230</v>
      </c>
      <c r="R81" s="51" t="s">
        <v>230</v>
      </c>
      <c r="T81" s="51" t="s">
        <v>230</v>
      </c>
    </row>
    <row r="82" spans="2:20" ht="12.75">
      <c r="B82" s="21" t="s">
        <v>228</v>
      </c>
      <c r="E82" s="22"/>
      <c r="F82" s="22" t="s">
        <v>232</v>
      </c>
      <c r="G82" s="22"/>
      <c r="H82" s="22" t="s">
        <v>232</v>
      </c>
      <c r="I82" s="22"/>
      <c r="J82" s="22" t="s">
        <v>232</v>
      </c>
      <c r="K82" s="22"/>
      <c r="L82" s="22" t="s">
        <v>232</v>
      </c>
      <c r="N82" s="51" t="s">
        <v>152</v>
      </c>
      <c r="P82" s="51" t="s">
        <v>152</v>
      </c>
      <c r="R82" s="51" t="s">
        <v>152</v>
      </c>
      <c r="T82" s="51" t="s">
        <v>152</v>
      </c>
    </row>
    <row r="83" spans="2:20" ht="12.75">
      <c r="B83" s="21" t="s">
        <v>233</v>
      </c>
      <c r="E83" s="22"/>
      <c r="F83" s="22" t="s">
        <v>60</v>
      </c>
      <c r="G83" s="22"/>
      <c r="H83" s="22" t="s">
        <v>60</v>
      </c>
      <c r="I83" s="22"/>
      <c r="J83" s="22" t="s">
        <v>60</v>
      </c>
      <c r="K83" s="22"/>
      <c r="L83" s="22" t="s">
        <v>60</v>
      </c>
      <c r="N83" s="51" t="s">
        <v>152</v>
      </c>
      <c r="P83" s="51" t="s">
        <v>152</v>
      </c>
      <c r="R83" s="51" t="s">
        <v>152</v>
      </c>
      <c r="T83" s="51" t="s">
        <v>152</v>
      </c>
    </row>
    <row r="84" spans="2:20" ht="12.75">
      <c r="B84" s="21" t="s">
        <v>26</v>
      </c>
      <c r="F84" s="22" t="s">
        <v>54</v>
      </c>
      <c r="H84" s="22" t="s">
        <v>54</v>
      </c>
      <c r="J84" s="22" t="s">
        <v>54</v>
      </c>
      <c r="L84" s="22" t="s">
        <v>54</v>
      </c>
      <c r="M84" s="22"/>
      <c r="N84" s="51" t="s">
        <v>152</v>
      </c>
      <c r="P84" s="51" t="s">
        <v>152</v>
      </c>
      <c r="R84" s="51" t="s">
        <v>152</v>
      </c>
      <c r="T84" s="51" t="s">
        <v>152</v>
      </c>
    </row>
    <row r="85" spans="2:12" ht="12.75">
      <c r="B85" s="21" t="s">
        <v>138</v>
      </c>
      <c r="D85" s="21" t="s">
        <v>42</v>
      </c>
      <c r="F85" s="51">
        <v>3411</v>
      </c>
      <c r="H85" s="51">
        <v>3250</v>
      </c>
      <c r="J85" s="51">
        <v>3225</v>
      </c>
      <c r="L85" s="23">
        <v>3294</v>
      </c>
    </row>
    <row r="86" spans="2:20" ht="12.75">
      <c r="B86" s="21" t="s">
        <v>136</v>
      </c>
      <c r="D86" s="21" t="s">
        <v>45</v>
      </c>
      <c r="F86" s="51">
        <v>38.7</v>
      </c>
      <c r="H86" s="51">
        <v>37.1</v>
      </c>
      <c r="J86" s="51">
        <v>36.5</v>
      </c>
      <c r="L86" s="23">
        <v>37.4</v>
      </c>
      <c r="N86" s="51">
        <f>F86</f>
        <v>38.7</v>
      </c>
      <c r="P86" s="51">
        <f>H86</f>
        <v>37.1</v>
      </c>
      <c r="R86" s="51">
        <f>J86</f>
        <v>36.5</v>
      </c>
      <c r="T86" s="51">
        <f>L86</f>
        <v>37.4</v>
      </c>
    </row>
    <row r="87" spans="2:12" ht="12.75">
      <c r="B87" s="21" t="s">
        <v>28</v>
      </c>
      <c r="D87" s="21" t="s">
        <v>29</v>
      </c>
      <c r="F87" s="51">
        <v>11400</v>
      </c>
      <c r="H87" s="51">
        <v>11400</v>
      </c>
      <c r="J87" s="51">
        <v>11300</v>
      </c>
      <c r="L87" s="25">
        <v>11367</v>
      </c>
    </row>
    <row r="88" spans="2:20" ht="12.75">
      <c r="B88" s="21" t="s">
        <v>30</v>
      </c>
      <c r="D88" s="21" t="s">
        <v>42</v>
      </c>
      <c r="F88" s="33">
        <v>0.287</v>
      </c>
      <c r="H88" s="33">
        <v>0.309</v>
      </c>
      <c r="J88" s="33">
        <v>0.306</v>
      </c>
      <c r="L88" s="27">
        <v>0.301</v>
      </c>
      <c r="T88" s="25"/>
    </row>
    <row r="89" spans="2:20" ht="12.75">
      <c r="B89" s="21" t="s">
        <v>31</v>
      </c>
      <c r="D89" s="21" t="s">
        <v>42</v>
      </c>
      <c r="F89" s="33">
        <v>13</v>
      </c>
      <c r="H89" s="33">
        <v>12</v>
      </c>
      <c r="J89" s="33">
        <v>11.6</v>
      </c>
      <c r="L89" s="23">
        <v>12.2</v>
      </c>
      <c r="T89" s="25"/>
    </row>
    <row r="90" spans="2:20" ht="12.75">
      <c r="B90" s="21" t="s">
        <v>127</v>
      </c>
      <c r="D90" s="21" t="s">
        <v>27</v>
      </c>
      <c r="E90" s="51" t="s">
        <v>25</v>
      </c>
      <c r="F90" s="41">
        <v>0.39</v>
      </c>
      <c r="G90" s="51" t="s">
        <v>25</v>
      </c>
      <c r="H90" s="41">
        <v>0.37</v>
      </c>
      <c r="I90" s="51" t="s">
        <v>25</v>
      </c>
      <c r="J90" s="41">
        <v>0.37</v>
      </c>
      <c r="L90" s="27">
        <v>0.38</v>
      </c>
      <c r="T90" s="25"/>
    </row>
    <row r="91" spans="2:12" ht="12.75">
      <c r="B91" s="21" t="s">
        <v>122</v>
      </c>
      <c r="D91" s="21" t="s">
        <v>27</v>
      </c>
      <c r="E91" s="51" t="s">
        <v>25</v>
      </c>
      <c r="F91" s="41">
        <v>0.062</v>
      </c>
      <c r="G91" s="51" t="s">
        <v>25</v>
      </c>
      <c r="H91" s="41">
        <v>0.059</v>
      </c>
      <c r="I91" s="51" t="s">
        <v>25</v>
      </c>
      <c r="J91" s="41">
        <v>0.059</v>
      </c>
      <c r="L91" s="23">
        <v>0.6</v>
      </c>
    </row>
    <row r="92" spans="2:20" ht="12.75">
      <c r="B92" s="21" t="s">
        <v>123</v>
      </c>
      <c r="D92" s="21" t="s">
        <v>27</v>
      </c>
      <c r="E92" s="22"/>
      <c r="F92" s="25">
        <v>0.121</v>
      </c>
      <c r="G92" s="22"/>
      <c r="H92" s="25">
        <v>0.13</v>
      </c>
      <c r="I92" s="22"/>
      <c r="J92" s="25">
        <v>0.123</v>
      </c>
      <c r="K92" s="22"/>
      <c r="L92" s="23">
        <v>0.125</v>
      </c>
      <c r="M92" s="22"/>
      <c r="N92" s="22"/>
      <c r="O92" s="22"/>
      <c r="P92" s="22"/>
      <c r="Q92" s="22"/>
      <c r="R92" s="22"/>
      <c r="S92" s="22"/>
      <c r="T92" s="25"/>
    </row>
    <row r="93" spans="2:20" ht="12.75">
      <c r="B93" s="21" t="s">
        <v>124</v>
      </c>
      <c r="D93" s="21" t="s">
        <v>27</v>
      </c>
      <c r="E93" s="22"/>
      <c r="F93" s="25">
        <v>0.0387</v>
      </c>
      <c r="G93" s="22"/>
      <c r="H93" s="25">
        <v>0.0384</v>
      </c>
      <c r="I93" s="22"/>
      <c r="J93" s="25">
        <v>0.0366</v>
      </c>
      <c r="K93" s="22"/>
      <c r="L93" s="26">
        <v>0.0375</v>
      </c>
      <c r="M93" s="22"/>
      <c r="N93" s="22"/>
      <c r="O93" s="22"/>
      <c r="P93" s="22"/>
      <c r="Q93" s="22"/>
      <c r="R93" s="22"/>
      <c r="S93" s="22"/>
      <c r="T93" s="25"/>
    </row>
    <row r="94" spans="2:20" ht="12.75">
      <c r="B94" s="21" t="s">
        <v>130</v>
      </c>
      <c r="D94" s="21" t="s">
        <v>27</v>
      </c>
      <c r="E94" s="22"/>
      <c r="F94" s="25">
        <v>0.031</v>
      </c>
      <c r="G94" s="22"/>
      <c r="H94" s="25">
        <v>0.0339</v>
      </c>
      <c r="I94" s="22"/>
      <c r="J94" s="25">
        <v>0.063</v>
      </c>
      <c r="K94" s="22"/>
      <c r="L94" s="26">
        <v>0.042</v>
      </c>
      <c r="M94" s="22"/>
      <c r="N94" s="22"/>
      <c r="O94" s="22"/>
      <c r="P94" s="22"/>
      <c r="Q94" s="22"/>
      <c r="R94" s="22"/>
      <c r="S94" s="22"/>
      <c r="T94" s="25"/>
    </row>
    <row r="95" spans="2:20" ht="12.75">
      <c r="B95" s="21" t="s">
        <v>132</v>
      </c>
      <c r="D95" s="21" t="s">
        <v>27</v>
      </c>
      <c r="F95" s="41">
        <v>2.14</v>
      </c>
      <c r="H95" s="41">
        <v>2.11</v>
      </c>
      <c r="J95" s="41">
        <v>1.8</v>
      </c>
      <c r="L95" s="23">
        <v>2.017</v>
      </c>
      <c r="T95" s="25"/>
    </row>
    <row r="96" spans="2:20" ht="12.75">
      <c r="B96" s="21" t="s">
        <v>128</v>
      </c>
      <c r="D96" s="21" t="s">
        <v>27</v>
      </c>
      <c r="E96" s="51" t="s">
        <v>25</v>
      </c>
      <c r="F96" s="41">
        <v>0.4</v>
      </c>
      <c r="G96" s="51" t="s">
        <v>25</v>
      </c>
      <c r="H96" s="41">
        <v>0.38</v>
      </c>
      <c r="I96" s="51" t="s">
        <v>25</v>
      </c>
      <c r="J96" s="41">
        <v>0.504</v>
      </c>
      <c r="L96" s="23">
        <v>0.428</v>
      </c>
      <c r="T96" s="25"/>
    </row>
    <row r="97" spans="2:12" ht="12.75">
      <c r="B97" s="21" t="s">
        <v>137</v>
      </c>
      <c r="D97" s="21" t="s">
        <v>27</v>
      </c>
      <c r="E97" s="51" t="s">
        <v>25</v>
      </c>
      <c r="F97" s="41">
        <v>0.12</v>
      </c>
      <c r="G97" s="51" t="s">
        <v>25</v>
      </c>
      <c r="H97" s="41">
        <v>0.12</v>
      </c>
      <c r="I97" s="51" t="s">
        <v>25</v>
      </c>
      <c r="J97" s="41">
        <v>0.12</v>
      </c>
      <c r="L97" s="27">
        <v>0.12</v>
      </c>
    </row>
    <row r="98" spans="2:20" ht="12.75">
      <c r="B98" s="21" t="s">
        <v>129</v>
      </c>
      <c r="D98" s="21" t="s">
        <v>27</v>
      </c>
      <c r="F98" s="41">
        <v>45.4</v>
      </c>
      <c r="H98" s="41">
        <v>47.5</v>
      </c>
      <c r="J98" s="41">
        <v>43.8</v>
      </c>
      <c r="L98" s="23">
        <v>45.567</v>
      </c>
      <c r="T98" s="52"/>
    </row>
    <row r="99" spans="2:20" ht="12.75">
      <c r="B99" s="21" t="s">
        <v>210</v>
      </c>
      <c r="D99" s="21" t="s">
        <v>27</v>
      </c>
      <c r="E99" s="51" t="s">
        <v>25</v>
      </c>
      <c r="F99" s="41">
        <v>1.4</v>
      </c>
      <c r="G99" s="51" t="s">
        <v>25</v>
      </c>
      <c r="H99" s="41">
        <v>1.3</v>
      </c>
      <c r="I99" s="51" t="s">
        <v>25</v>
      </c>
      <c r="J99" s="41">
        <v>1.3</v>
      </c>
      <c r="L99" s="23">
        <v>1.3</v>
      </c>
      <c r="T99" s="53"/>
    </row>
    <row r="100" spans="2:12" ht="12.75">
      <c r="B100" s="21" t="s">
        <v>131</v>
      </c>
      <c r="D100" s="21" t="s">
        <v>27</v>
      </c>
      <c r="E100" s="51" t="s">
        <v>25</v>
      </c>
      <c r="F100" s="41">
        <v>0.17</v>
      </c>
      <c r="G100" s="51" t="s">
        <v>25</v>
      </c>
      <c r="H100" s="41">
        <v>0.16</v>
      </c>
      <c r="I100" s="51" t="s">
        <v>25</v>
      </c>
      <c r="J100" s="41">
        <v>0.16</v>
      </c>
      <c r="L100" s="23">
        <v>0.163</v>
      </c>
    </row>
    <row r="101" spans="2:12" ht="12.75">
      <c r="B101" s="21" t="s">
        <v>126</v>
      </c>
      <c r="D101" s="21" t="s">
        <v>27</v>
      </c>
      <c r="E101" s="51" t="s">
        <v>25</v>
      </c>
      <c r="F101" s="41">
        <v>0.36</v>
      </c>
      <c r="G101" s="51" t="s">
        <v>25</v>
      </c>
      <c r="H101" s="41">
        <v>0.34</v>
      </c>
      <c r="I101" s="51" t="s">
        <v>25</v>
      </c>
      <c r="J101" s="41">
        <v>0.34</v>
      </c>
      <c r="L101" s="23">
        <v>0.343</v>
      </c>
    </row>
    <row r="102" spans="2:20" ht="12.75">
      <c r="B102" s="21" t="s">
        <v>125</v>
      </c>
      <c r="D102" s="21" t="s">
        <v>27</v>
      </c>
      <c r="F102" s="41">
        <v>0.872</v>
      </c>
      <c r="G102" s="25"/>
      <c r="H102" s="41">
        <v>1.4</v>
      </c>
      <c r="I102" s="25"/>
      <c r="J102" s="41">
        <v>1.68</v>
      </c>
      <c r="L102" s="23">
        <v>1.317</v>
      </c>
      <c r="T102" s="27"/>
    </row>
    <row r="103" spans="12:20" ht="12.75">
      <c r="L103" s="26"/>
      <c r="T103" s="27"/>
    </row>
    <row r="104" spans="2:20" ht="12.75">
      <c r="B104" s="21" t="s">
        <v>69</v>
      </c>
      <c r="D104" s="21" t="s">
        <v>22</v>
      </c>
      <c r="E104" s="22"/>
      <c r="F104" s="25">
        <f>emiss!G71</f>
        <v>8646</v>
      </c>
      <c r="G104" s="22"/>
      <c r="H104" s="25">
        <f>emiss!I71</f>
        <v>8274</v>
      </c>
      <c r="I104" s="22"/>
      <c r="J104" s="25">
        <f>emiss!K71</f>
        <v>8180</v>
      </c>
      <c r="K104" s="22"/>
      <c r="L104" s="23">
        <f>emiss!M71</f>
        <v>8366.666666666666</v>
      </c>
      <c r="T104" s="27"/>
    </row>
    <row r="105" spans="2:20" ht="12.75">
      <c r="B105" s="21" t="s">
        <v>70</v>
      </c>
      <c r="D105" s="21" t="s">
        <v>23</v>
      </c>
      <c r="E105" s="22"/>
      <c r="F105" s="25">
        <f>emiss!G78</f>
        <v>2.8</v>
      </c>
      <c r="G105" s="22"/>
      <c r="H105" s="25">
        <f>emiss!I78</f>
        <v>2.9</v>
      </c>
      <c r="I105" s="22"/>
      <c r="J105" s="25">
        <f>emiss!K78</f>
        <v>2.9</v>
      </c>
      <c r="K105" s="22"/>
      <c r="L105" s="23">
        <f>emiss!M78</f>
        <v>2.8666666666666667</v>
      </c>
      <c r="T105" s="27"/>
    </row>
    <row r="106" spans="5:20" ht="12.75">
      <c r="E106" s="22"/>
      <c r="F106" s="22"/>
      <c r="G106" s="22"/>
      <c r="H106" s="22"/>
      <c r="I106" s="22"/>
      <c r="J106" s="22"/>
      <c r="K106" s="22"/>
      <c r="T106" s="27"/>
    </row>
    <row r="107" spans="2:28" ht="12.75">
      <c r="B107" s="21" t="s">
        <v>71</v>
      </c>
      <c r="D107" s="21" t="s">
        <v>45</v>
      </c>
      <c r="E107" s="22"/>
      <c r="L107" s="51"/>
      <c r="T107" s="27"/>
      <c r="V107" s="23">
        <f>(F104/9000)*((21-F105)/21)*60</f>
        <v>49.95466666666667</v>
      </c>
      <c r="W107" s="22"/>
      <c r="X107" s="23">
        <f>(H104/9000)*((21-H105)/21)*60</f>
        <v>47.54266666666667</v>
      </c>
      <c r="Y107" s="22"/>
      <c r="Z107" s="23">
        <f>(J104/9000)*((21-J105)/21)*60</f>
        <v>47.002539682539684</v>
      </c>
      <c r="AA107" s="22"/>
      <c r="AB107" s="23">
        <f>(L104/9000)*((21-L105)/21)*60</f>
        <v>48.16366843033509</v>
      </c>
    </row>
    <row r="108" spans="5:20" ht="12.75">
      <c r="E108" s="22"/>
      <c r="F108" s="22"/>
      <c r="G108" s="22"/>
      <c r="H108" s="22"/>
      <c r="I108" s="22"/>
      <c r="J108" s="22"/>
      <c r="K108" s="22"/>
      <c r="L108" s="23"/>
      <c r="T108" s="27"/>
    </row>
    <row r="109" spans="2:20" ht="12.75">
      <c r="B109" s="59" t="s">
        <v>99</v>
      </c>
      <c r="C109" s="59"/>
      <c r="E109" s="22"/>
      <c r="F109" s="22"/>
      <c r="G109" s="22"/>
      <c r="H109" s="22"/>
      <c r="I109" s="22"/>
      <c r="J109" s="22"/>
      <c r="K109" s="22"/>
      <c r="L109" s="23"/>
      <c r="T109" s="27"/>
    </row>
    <row r="110" spans="2:20" ht="12.75">
      <c r="B110" s="21" t="s">
        <v>30</v>
      </c>
      <c r="D110" s="21" t="s">
        <v>64</v>
      </c>
      <c r="E110" s="22"/>
      <c r="F110" s="23">
        <f>(F88*454/(F104*60*0.0283))*((21-7)/(21-F105))*1000</f>
        <v>6.827181995093953</v>
      </c>
      <c r="G110" s="22"/>
      <c r="H110" s="23">
        <f>(H88*454/(H104*60*0.0283))*((21-7)/(21-H105))*1000</f>
        <v>7.723436684550381</v>
      </c>
      <c r="I110" s="22"/>
      <c r="J110" s="23">
        <f>(J88*454/(J104*60*0.0283))*((21-7)/(21-J105))*1000</f>
        <v>7.736343607487983</v>
      </c>
      <c r="K110" s="22"/>
      <c r="L110" s="23">
        <f>AVERAGE(F110,H110,J110)</f>
        <v>7.428987429044106</v>
      </c>
      <c r="N110" s="54">
        <f>F110</f>
        <v>6.827181995093953</v>
      </c>
      <c r="P110" s="54">
        <f>H110</f>
        <v>7.723436684550381</v>
      </c>
      <c r="R110" s="54">
        <f>J110</f>
        <v>7.736343607487983</v>
      </c>
      <c r="T110" s="54">
        <f>L110</f>
        <v>7.428987429044106</v>
      </c>
    </row>
    <row r="111" spans="2:20" ht="12.75">
      <c r="B111" s="21" t="s">
        <v>31</v>
      </c>
      <c r="D111" s="21" t="s">
        <v>68</v>
      </c>
      <c r="E111" s="22"/>
      <c r="F111" s="24">
        <f>(F89*454/(F$30*60*0.0283))*(14/(21-F$31))*1000000</f>
        <v>354931.2028698276</v>
      </c>
      <c r="G111" s="22"/>
      <c r="H111" s="24">
        <f>(H89*454/(H$30*60*0.0283))*(14/(21-H$31))*1000000</f>
        <v>322425.6391285529</v>
      </c>
      <c r="I111" s="22"/>
      <c r="J111" s="24">
        <f>(J89*454/(J$30*60*0.0283))*(14/(21-J$31))*1000000</f>
        <v>269155.2078116141</v>
      </c>
      <c r="K111" s="22"/>
      <c r="L111" s="23">
        <f aca="true" t="shared" si="4" ref="L111:L124">AVERAGE(F111,H111,J111)</f>
        <v>315504.01660333155</v>
      </c>
      <c r="N111" s="54">
        <f aca="true" t="shared" si="5" ref="N111:N126">F111</f>
        <v>354931.2028698276</v>
      </c>
      <c r="P111" s="54">
        <f aca="true" t="shared" si="6" ref="P111:P126">H111</f>
        <v>322425.6391285529</v>
      </c>
      <c r="R111" s="54">
        <f aca="true" t="shared" si="7" ref="R111:R126">J111</f>
        <v>269155.2078116141</v>
      </c>
      <c r="T111" s="54">
        <f aca="true" t="shared" si="8" ref="T111:T126">L111</f>
        <v>315504.01660333155</v>
      </c>
    </row>
    <row r="112" spans="2:20" ht="12.75">
      <c r="B112" s="21" t="s">
        <v>127</v>
      </c>
      <c r="D112" s="21" t="s">
        <v>68</v>
      </c>
      <c r="E112" s="22"/>
      <c r="F112" s="23">
        <f aca="true" t="shared" si="9" ref="F112:H124">(F90/(F$30*60*0.0283))*(14/(21-F$31))*1000000</f>
        <v>23.45360371386526</v>
      </c>
      <c r="G112" s="22"/>
      <c r="H112" s="23">
        <f t="shared" si="9"/>
        <v>21.897482833620515</v>
      </c>
      <c r="I112" s="22"/>
      <c r="J112" s="23">
        <f aca="true" t="shared" si="10" ref="J112:J124">(J90/(J$30*60*0.0283))*(14/(21-J$31))*1000000</f>
        <v>18.90996257221199</v>
      </c>
      <c r="K112" s="22"/>
      <c r="L112" s="23">
        <f t="shared" si="4"/>
        <v>21.420349706565926</v>
      </c>
      <c r="N112" s="54">
        <f t="shared" si="5"/>
        <v>23.45360371386526</v>
      </c>
      <c r="P112" s="54">
        <f t="shared" si="6"/>
        <v>21.897482833620515</v>
      </c>
      <c r="R112" s="54">
        <f t="shared" si="7"/>
        <v>18.90996257221199</v>
      </c>
      <c r="T112" s="54">
        <f t="shared" si="8"/>
        <v>21.420349706565926</v>
      </c>
    </row>
    <row r="113" spans="2:20" ht="12.75">
      <c r="B113" s="21" t="s">
        <v>122</v>
      </c>
      <c r="D113" s="21" t="s">
        <v>68</v>
      </c>
      <c r="E113" s="51">
        <v>100</v>
      </c>
      <c r="F113" s="23">
        <f t="shared" si="9"/>
        <v>3.7285216160503745</v>
      </c>
      <c r="G113" s="51">
        <v>100</v>
      </c>
      <c r="H113" s="23">
        <f t="shared" si="9"/>
        <v>3.4917607761719194</v>
      </c>
      <c r="I113" s="51">
        <v>100</v>
      </c>
      <c r="J113" s="23">
        <f t="shared" si="10"/>
        <v>3.0153724101635335</v>
      </c>
      <c r="K113" s="51">
        <v>100</v>
      </c>
      <c r="L113" s="23">
        <f t="shared" si="4"/>
        <v>3.4118849341286093</v>
      </c>
      <c r="M113" s="51">
        <v>100</v>
      </c>
      <c r="N113" s="54">
        <f t="shared" si="5"/>
        <v>3.7285216160503745</v>
      </c>
      <c r="O113" s="51">
        <v>100</v>
      </c>
      <c r="P113" s="54">
        <f t="shared" si="6"/>
        <v>3.4917607761719194</v>
      </c>
      <c r="Q113" s="51">
        <v>100</v>
      </c>
      <c r="R113" s="54">
        <f t="shared" si="7"/>
        <v>3.0153724101635335</v>
      </c>
      <c r="S113" s="51">
        <v>100</v>
      </c>
      <c r="T113" s="54">
        <f t="shared" si="8"/>
        <v>3.4118849341286093</v>
      </c>
    </row>
    <row r="114" spans="2:20" ht="12.75">
      <c r="B114" s="21" t="s">
        <v>123</v>
      </c>
      <c r="D114" s="21" t="s">
        <v>68</v>
      </c>
      <c r="E114" s="22"/>
      <c r="F114" s="23">
        <f t="shared" si="9"/>
        <v>7.276630895840247</v>
      </c>
      <c r="G114" s="22"/>
      <c r="H114" s="23">
        <f t="shared" si="9"/>
        <v>7.693710184785587</v>
      </c>
      <c r="I114" s="22"/>
      <c r="J114" s="23">
        <f t="shared" si="10"/>
        <v>6.286284855086689</v>
      </c>
      <c r="K114" s="22"/>
      <c r="L114" s="23">
        <f t="shared" si="4"/>
        <v>7.085541978570841</v>
      </c>
      <c r="M114" s="22"/>
      <c r="N114" s="54">
        <f t="shared" si="5"/>
        <v>7.276630895840247</v>
      </c>
      <c r="O114" s="22"/>
      <c r="P114" s="54">
        <f t="shared" si="6"/>
        <v>7.693710184785587</v>
      </c>
      <c r="Q114" s="22"/>
      <c r="R114" s="54">
        <f t="shared" si="7"/>
        <v>6.286284855086689</v>
      </c>
      <c r="S114" s="22"/>
      <c r="T114" s="54">
        <f t="shared" si="8"/>
        <v>7.085541978570841</v>
      </c>
    </row>
    <row r="115" spans="2:20" ht="12.75">
      <c r="B115" s="21" t="s">
        <v>124</v>
      </c>
      <c r="D115" s="21" t="s">
        <v>68</v>
      </c>
      <c r="E115" s="22"/>
      <c r="F115" s="23">
        <f t="shared" si="9"/>
        <v>2.3273191377604756</v>
      </c>
      <c r="G115" s="22"/>
      <c r="H115" s="23">
        <f t="shared" si="9"/>
        <v>2.272603623813589</v>
      </c>
      <c r="I115" s="22"/>
      <c r="J115" s="23">
        <f t="shared" si="10"/>
        <v>1.8705530544404294</v>
      </c>
      <c r="K115" s="22"/>
      <c r="L115" s="23">
        <f t="shared" si="4"/>
        <v>2.156825272004831</v>
      </c>
      <c r="M115" s="22"/>
      <c r="N115" s="54">
        <f t="shared" si="5"/>
        <v>2.3273191377604756</v>
      </c>
      <c r="O115" s="22"/>
      <c r="P115" s="54">
        <f t="shared" si="6"/>
        <v>2.272603623813589</v>
      </c>
      <c r="Q115" s="22"/>
      <c r="R115" s="54">
        <f t="shared" si="7"/>
        <v>1.8705530544404294</v>
      </c>
      <c r="S115" s="22"/>
      <c r="T115" s="54">
        <f t="shared" si="8"/>
        <v>2.156825272004831</v>
      </c>
    </row>
    <row r="116" spans="2:20" ht="12.75">
      <c r="B116" s="21" t="s">
        <v>130</v>
      </c>
      <c r="D116" s="21" t="s">
        <v>68</v>
      </c>
      <c r="E116" s="22"/>
      <c r="F116" s="23">
        <f t="shared" si="9"/>
        <v>1.8642608080251872</v>
      </c>
      <c r="G116" s="22"/>
      <c r="H116" s="23">
        <f t="shared" si="9"/>
        <v>2.006282886647934</v>
      </c>
      <c r="I116" s="22"/>
      <c r="J116" s="23">
        <f t="shared" si="10"/>
        <v>3.219804437971231</v>
      </c>
      <c r="K116" s="22"/>
      <c r="L116" s="23">
        <f t="shared" si="4"/>
        <v>2.363449377548118</v>
      </c>
      <c r="M116" s="22"/>
      <c r="N116" s="54">
        <f t="shared" si="5"/>
        <v>1.8642608080251872</v>
      </c>
      <c r="O116" s="22"/>
      <c r="P116" s="54">
        <f t="shared" si="6"/>
        <v>2.006282886647934</v>
      </c>
      <c r="Q116" s="22"/>
      <c r="R116" s="54">
        <f t="shared" si="7"/>
        <v>3.219804437971231</v>
      </c>
      <c r="S116" s="22"/>
      <c r="T116" s="54">
        <f t="shared" si="8"/>
        <v>2.363449377548118</v>
      </c>
    </row>
    <row r="117" spans="2:20" ht="12.75">
      <c r="B117" s="21" t="s">
        <v>132</v>
      </c>
      <c r="D117" s="21" t="s">
        <v>68</v>
      </c>
      <c r="F117" s="23">
        <f t="shared" si="9"/>
        <v>128.6941331991581</v>
      </c>
      <c r="H117" s="23">
        <f t="shared" si="9"/>
        <v>124.87483453767375</v>
      </c>
      <c r="J117" s="23">
        <f t="shared" si="10"/>
        <v>91.99441251346374</v>
      </c>
      <c r="L117" s="23">
        <f t="shared" si="4"/>
        <v>115.1877934167652</v>
      </c>
      <c r="N117" s="54">
        <f t="shared" si="5"/>
        <v>128.6941331991581</v>
      </c>
      <c r="P117" s="54">
        <f t="shared" si="6"/>
        <v>124.87483453767375</v>
      </c>
      <c r="R117" s="54">
        <f t="shared" si="7"/>
        <v>91.99441251346374</v>
      </c>
      <c r="T117" s="54">
        <f t="shared" si="8"/>
        <v>115.1877934167652</v>
      </c>
    </row>
    <row r="118" spans="2:20" ht="12.75">
      <c r="B118" s="21" t="s">
        <v>128</v>
      </c>
      <c r="D118" s="21" t="s">
        <v>68</v>
      </c>
      <c r="E118" s="51">
        <v>100</v>
      </c>
      <c r="F118" s="23">
        <f t="shared" si="9"/>
        <v>24.054978168066935</v>
      </c>
      <c r="G118" s="51">
        <v>100</v>
      </c>
      <c r="H118" s="23">
        <f t="shared" si="9"/>
        <v>22.489306693988638</v>
      </c>
      <c r="I118" s="51">
        <v>100</v>
      </c>
      <c r="J118" s="23">
        <f t="shared" si="10"/>
        <v>25.75843550376985</v>
      </c>
      <c r="K118" s="51">
        <v>100</v>
      </c>
      <c r="L118" s="23">
        <f t="shared" si="4"/>
        <v>24.100906788608473</v>
      </c>
      <c r="M118" s="51">
        <v>100</v>
      </c>
      <c r="N118" s="54">
        <f t="shared" si="5"/>
        <v>24.054978168066935</v>
      </c>
      <c r="O118" s="51">
        <v>100</v>
      </c>
      <c r="P118" s="54">
        <f t="shared" si="6"/>
        <v>22.489306693988638</v>
      </c>
      <c r="Q118" s="51">
        <v>100</v>
      </c>
      <c r="R118" s="54">
        <f t="shared" si="7"/>
        <v>25.75843550376985</v>
      </c>
      <c r="S118" s="51">
        <v>100</v>
      </c>
      <c r="T118" s="54">
        <f t="shared" si="8"/>
        <v>24.100906788608473</v>
      </c>
    </row>
    <row r="119" spans="2:20" ht="12.75">
      <c r="B119" s="21" t="s">
        <v>137</v>
      </c>
      <c r="D119" s="21" t="s">
        <v>68</v>
      </c>
      <c r="E119" s="51">
        <v>100</v>
      </c>
      <c r="F119" s="23">
        <f t="shared" si="9"/>
        <v>7.216493450420079</v>
      </c>
      <c r="G119" s="51">
        <v>100</v>
      </c>
      <c r="H119" s="23">
        <f t="shared" si="9"/>
        <v>7.101886324417464</v>
      </c>
      <c r="I119" s="51">
        <v>100</v>
      </c>
      <c r="J119" s="23">
        <f t="shared" si="10"/>
        <v>6.132960834230916</v>
      </c>
      <c r="K119" s="51">
        <v>100</v>
      </c>
      <c r="L119" s="23">
        <f t="shared" si="4"/>
        <v>6.817113536356153</v>
      </c>
      <c r="M119" s="51">
        <v>100</v>
      </c>
      <c r="N119" s="54">
        <f t="shared" si="5"/>
        <v>7.216493450420079</v>
      </c>
      <c r="O119" s="51">
        <v>100</v>
      </c>
      <c r="P119" s="54">
        <f t="shared" si="6"/>
        <v>7.101886324417464</v>
      </c>
      <c r="Q119" s="51">
        <v>100</v>
      </c>
      <c r="R119" s="54">
        <f t="shared" si="7"/>
        <v>6.132960834230916</v>
      </c>
      <c r="S119" s="51">
        <v>100</v>
      </c>
      <c r="T119" s="54">
        <f t="shared" si="8"/>
        <v>6.817113536356153</v>
      </c>
    </row>
    <row r="120" spans="2:22" ht="12.75">
      <c r="B120" s="21" t="s">
        <v>129</v>
      </c>
      <c r="D120" s="21" t="s">
        <v>68</v>
      </c>
      <c r="F120" s="23">
        <f t="shared" si="9"/>
        <v>2730.2400220755967</v>
      </c>
      <c r="H120" s="23">
        <f t="shared" si="9"/>
        <v>2811.1633367485797</v>
      </c>
      <c r="J120" s="23">
        <f t="shared" si="10"/>
        <v>2238.5307044942842</v>
      </c>
      <c r="L120" s="23">
        <f t="shared" si="4"/>
        <v>2593.311354439487</v>
      </c>
      <c r="N120" s="54">
        <f t="shared" si="5"/>
        <v>2730.2400220755967</v>
      </c>
      <c r="P120" s="54">
        <f t="shared" si="6"/>
        <v>2811.1633367485797</v>
      </c>
      <c r="R120" s="54">
        <f t="shared" si="7"/>
        <v>2238.5307044942842</v>
      </c>
      <c r="T120" s="54">
        <f t="shared" si="8"/>
        <v>2593.311354439487</v>
      </c>
      <c r="V120" s="25"/>
    </row>
    <row r="121" spans="2:20" ht="12.75">
      <c r="B121" s="21" t="s">
        <v>210</v>
      </c>
      <c r="D121" s="21" t="s">
        <v>68</v>
      </c>
      <c r="F121" s="23">
        <f t="shared" si="9"/>
        <v>84.19242358823426</v>
      </c>
      <c r="H121" s="23">
        <f t="shared" si="9"/>
        <v>76.93710184785587</v>
      </c>
      <c r="J121" s="23">
        <f t="shared" si="10"/>
        <v>66.4404090375016</v>
      </c>
      <c r="L121" s="23">
        <f t="shared" si="4"/>
        <v>75.85664482453058</v>
      </c>
      <c r="N121" s="54">
        <f t="shared" si="5"/>
        <v>84.19242358823426</v>
      </c>
      <c r="P121" s="54">
        <f t="shared" si="6"/>
        <v>76.93710184785587</v>
      </c>
      <c r="R121" s="54">
        <f t="shared" si="7"/>
        <v>66.4404090375016</v>
      </c>
      <c r="T121" s="54">
        <f t="shared" si="8"/>
        <v>75.85664482453058</v>
      </c>
    </row>
    <row r="122" spans="2:20" ht="12.75">
      <c r="B122" s="21" t="s">
        <v>131</v>
      </c>
      <c r="D122" s="21" t="s">
        <v>68</v>
      </c>
      <c r="E122" s="51">
        <v>100</v>
      </c>
      <c r="F122" s="23">
        <f t="shared" si="9"/>
        <v>10.223365721428447</v>
      </c>
      <c r="G122" s="51">
        <v>100</v>
      </c>
      <c r="H122" s="23">
        <f t="shared" si="9"/>
        <v>9.469181765889953</v>
      </c>
      <c r="I122" s="51">
        <v>100</v>
      </c>
      <c r="J122" s="23">
        <f t="shared" si="10"/>
        <v>8.177281112307888</v>
      </c>
      <c r="K122" s="51">
        <v>100</v>
      </c>
      <c r="L122" s="23">
        <f t="shared" si="4"/>
        <v>9.289942866542097</v>
      </c>
      <c r="M122" s="51">
        <v>100</v>
      </c>
      <c r="N122" s="54">
        <f t="shared" si="5"/>
        <v>10.223365721428447</v>
      </c>
      <c r="O122" s="51">
        <v>100</v>
      </c>
      <c r="P122" s="54">
        <f t="shared" si="6"/>
        <v>9.469181765889953</v>
      </c>
      <c r="Q122" s="51">
        <v>100</v>
      </c>
      <c r="R122" s="54">
        <f t="shared" si="7"/>
        <v>8.177281112307888</v>
      </c>
      <c r="S122" s="51">
        <v>100</v>
      </c>
      <c r="T122" s="54">
        <f t="shared" si="8"/>
        <v>9.289942866542097</v>
      </c>
    </row>
    <row r="123" spans="2:20" ht="12.75">
      <c r="B123" s="21" t="s">
        <v>126</v>
      </c>
      <c r="D123" s="21" t="s">
        <v>68</v>
      </c>
      <c r="E123" s="51">
        <v>100</v>
      </c>
      <c r="F123" s="23">
        <f t="shared" si="9"/>
        <v>21.649480351260237</v>
      </c>
      <c r="G123" s="51">
        <v>100</v>
      </c>
      <c r="H123" s="23">
        <f t="shared" si="9"/>
        <v>20.122011252516153</v>
      </c>
      <c r="I123" s="51">
        <v>100</v>
      </c>
      <c r="J123" s="23">
        <f t="shared" si="10"/>
        <v>17.376722363654267</v>
      </c>
      <c r="K123" s="51">
        <v>100</v>
      </c>
      <c r="L123" s="23">
        <f t="shared" si="4"/>
        <v>19.716071322476886</v>
      </c>
      <c r="M123" s="51">
        <v>100</v>
      </c>
      <c r="N123" s="54">
        <f t="shared" si="5"/>
        <v>21.649480351260237</v>
      </c>
      <c r="O123" s="51">
        <v>100</v>
      </c>
      <c r="P123" s="54">
        <f t="shared" si="6"/>
        <v>20.122011252516153</v>
      </c>
      <c r="Q123" s="51">
        <v>100</v>
      </c>
      <c r="R123" s="54">
        <f t="shared" si="7"/>
        <v>17.376722363654267</v>
      </c>
      <c r="S123" s="51">
        <v>100</v>
      </c>
      <c r="T123" s="54">
        <f t="shared" si="8"/>
        <v>19.716071322476886</v>
      </c>
    </row>
    <row r="124" spans="2:20" ht="12.75">
      <c r="B124" s="21" t="s">
        <v>125</v>
      </c>
      <c r="D124" s="21" t="s">
        <v>68</v>
      </c>
      <c r="E124" s="22"/>
      <c r="F124" s="23">
        <f t="shared" si="9"/>
        <v>52.43985240638591</v>
      </c>
      <c r="G124" s="22"/>
      <c r="H124" s="23">
        <f t="shared" si="9"/>
        <v>82.85534045153709</v>
      </c>
      <c r="I124" s="22"/>
      <c r="J124" s="23">
        <f t="shared" si="10"/>
        <v>85.86145167923283</v>
      </c>
      <c r="K124" s="22"/>
      <c r="L124" s="23">
        <f t="shared" si="4"/>
        <v>73.71888151238527</v>
      </c>
      <c r="M124" s="22"/>
      <c r="N124" s="54">
        <f t="shared" si="5"/>
        <v>52.43985240638591</v>
      </c>
      <c r="O124" s="22"/>
      <c r="P124" s="54">
        <f t="shared" si="6"/>
        <v>82.85534045153709</v>
      </c>
      <c r="Q124" s="22"/>
      <c r="R124" s="54">
        <f t="shared" si="7"/>
        <v>85.86145167923283</v>
      </c>
      <c r="S124" s="22"/>
      <c r="T124" s="54">
        <f t="shared" si="8"/>
        <v>73.71888151238527</v>
      </c>
    </row>
    <row r="125" spans="2:20" ht="12.75">
      <c r="B125" s="21" t="s">
        <v>61</v>
      </c>
      <c r="D125" s="21" t="s">
        <v>68</v>
      </c>
      <c r="E125" s="22">
        <f>F118/F125*100</f>
        <v>92.80742459396753</v>
      </c>
      <c r="F125" s="23">
        <f>(F116+F118)</f>
        <v>25.91923897609212</v>
      </c>
      <c r="G125" s="22">
        <f>H118/H125*100</f>
        <v>91.80961584923895</v>
      </c>
      <c r="H125" s="23">
        <f>(H116+H118)</f>
        <v>24.495589580636572</v>
      </c>
      <c r="I125" s="22">
        <f>J118/J125*100</f>
        <v>88.8888888888889</v>
      </c>
      <c r="J125" s="23">
        <f>(J116+J118)</f>
        <v>28.97823994174108</v>
      </c>
      <c r="K125" s="22">
        <f>L118/L125*100</f>
        <v>91.0693108772071</v>
      </c>
      <c r="L125" s="23">
        <f>(L116+L118)</f>
        <v>26.46435616615659</v>
      </c>
      <c r="M125" s="22">
        <f>N118/N125*100</f>
        <v>92.80742459396753</v>
      </c>
      <c r="N125" s="54">
        <f t="shared" si="5"/>
        <v>25.91923897609212</v>
      </c>
      <c r="O125" s="22">
        <f>P118/P125*100</f>
        <v>91.80961584923895</v>
      </c>
      <c r="P125" s="54">
        <f t="shared" si="6"/>
        <v>24.495589580636572</v>
      </c>
      <c r="Q125" s="22">
        <f>R118/R125*100</f>
        <v>88.8888888888889</v>
      </c>
      <c r="R125" s="54">
        <f t="shared" si="7"/>
        <v>28.97823994174108</v>
      </c>
      <c r="S125" s="22">
        <f>T118/T125*100</f>
        <v>91.0693108772071</v>
      </c>
      <c r="T125" s="54">
        <f t="shared" si="8"/>
        <v>26.46435616615659</v>
      </c>
    </row>
    <row r="126" spans="2:22" ht="12.75">
      <c r="B126" s="21" t="s">
        <v>62</v>
      </c>
      <c r="D126" s="21" t="s">
        <v>68</v>
      </c>
      <c r="E126" s="22">
        <f>F113/F126*100</f>
        <v>2.7669924577141067</v>
      </c>
      <c r="F126" s="23">
        <f>(F113+F115+F117)</f>
        <v>134.74997395296896</v>
      </c>
      <c r="G126" s="22">
        <f>H113/H126*100</f>
        <v>2.6728277611669835</v>
      </c>
      <c r="H126" s="23">
        <f>(H113+H115+H117)</f>
        <v>130.63919893765924</v>
      </c>
      <c r="I126" s="22">
        <f>J113/J126*100</f>
        <v>3.112470985439966</v>
      </c>
      <c r="J126" s="23">
        <f>(J113+J115+J117)</f>
        <v>96.8803379780677</v>
      </c>
      <c r="K126" s="22">
        <f>L113/L126*100</f>
        <v>2.8254254071344485</v>
      </c>
      <c r="L126" s="23">
        <f>(L113+L115+L117)</f>
        <v>120.75650362289865</v>
      </c>
      <c r="M126" s="22">
        <f>N113/N126*100</f>
        <v>2.7669924577141067</v>
      </c>
      <c r="N126" s="54">
        <f t="shared" si="5"/>
        <v>134.74997395296896</v>
      </c>
      <c r="O126" s="22">
        <f>P113/P126*100</f>
        <v>2.6728277611669835</v>
      </c>
      <c r="P126" s="54">
        <f t="shared" si="6"/>
        <v>130.63919893765924</v>
      </c>
      <c r="Q126" s="22">
        <f>R113/R126*100</f>
        <v>3.112470985439966</v>
      </c>
      <c r="R126" s="54">
        <f t="shared" si="7"/>
        <v>96.8803379780677</v>
      </c>
      <c r="S126" s="22">
        <f>T113/T126*100</f>
        <v>2.8254254071344485</v>
      </c>
      <c r="T126" s="54">
        <f t="shared" si="8"/>
        <v>120.75650362289865</v>
      </c>
      <c r="V126" s="25"/>
    </row>
    <row r="127" spans="12:20" ht="12.75">
      <c r="L127" s="23"/>
      <c r="T127" s="26"/>
    </row>
    <row r="128" spans="12:20" ht="12.75">
      <c r="L128" s="23"/>
      <c r="T128" s="25"/>
    </row>
    <row r="129" ht="12.75">
      <c r="L129" s="23"/>
    </row>
    <row r="130" spans="12:20" ht="12.75">
      <c r="L130" s="23"/>
      <c r="T130" s="52"/>
    </row>
    <row r="131" spans="12:20" ht="12.75">
      <c r="L131" s="23"/>
      <c r="T131" s="53"/>
    </row>
    <row r="132" spans="2:12" ht="12.75">
      <c r="B132" s="51"/>
      <c r="C132" s="51"/>
      <c r="D132" s="51"/>
      <c r="L132" s="23"/>
    </row>
    <row r="133" ht="12.75">
      <c r="L133" s="26"/>
    </row>
    <row r="134" spans="12:22" ht="12.75">
      <c r="L134" s="26"/>
      <c r="T134" s="27"/>
      <c r="V134" s="25"/>
    </row>
    <row r="135" ht="12.75">
      <c r="T135" s="25"/>
    </row>
    <row r="136" ht="12.75">
      <c r="T136" s="25"/>
    </row>
    <row r="138" ht="14.25">
      <c r="D138" s="64"/>
    </row>
    <row r="140" spans="2:3" ht="12.75">
      <c r="B140" s="50"/>
      <c r="C140" s="50"/>
    </row>
    <row r="142" ht="12.75">
      <c r="T142" s="25"/>
    </row>
    <row r="145" ht="14.25">
      <c r="D145" s="64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D3" sqref="D3"/>
    </sheetView>
  </sheetViews>
  <sheetFormatPr defaultColWidth="9.140625" defaultRowHeight="12.75"/>
  <cols>
    <col min="1" max="1" width="32.57421875" style="0" customWidth="1"/>
    <col min="3" max="3" width="12.28125" style="0" customWidth="1"/>
    <col min="4" max="4" width="12.421875" style="0" customWidth="1"/>
  </cols>
  <sheetData>
    <row r="1" spans="1:4" ht="12.75">
      <c r="A1" s="13" t="s">
        <v>91</v>
      </c>
      <c r="B1" s="28"/>
      <c r="C1" s="28"/>
      <c r="D1" s="28"/>
    </row>
    <row r="2" spans="1:4" ht="12.75">
      <c r="A2" s="28"/>
      <c r="B2" s="28"/>
      <c r="C2" s="28" t="s">
        <v>77</v>
      </c>
      <c r="D2" s="28"/>
    </row>
    <row r="3" spans="1:4" ht="12.75">
      <c r="A3" s="13" t="s">
        <v>89</v>
      </c>
      <c r="B3" s="28" t="s">
        <v>235</v>
      </c>
      <c r="C3" s="28"/>
      <c r="D3" s="28"/>
    </row>
    <row r="4" spans="1:4" ht="12.75">
      <c r="A4" s="28"/>
      <c r="B4" s="28"/>
      <c r="C4" s="56"/>
      <c r="D4" s="28"/>
    </row>
    <row r="5" spans="1:4" ht="14.25">
      <c r="A5" s="28" t="s">
        <v>92</v>
      </c>
      <c r="B5" s="14" t="s">
        <v>47</v>
      </c>
      <c r="C5" s="55">
        <f>(1500*1.8)+32</f>
        <v>2732</v>
      </c>
      <c r="D5" s="28"/>
    </row>
    <row r="6" spans="1:4" ht="12.75">
      <c r="A6" s="28" t="s">
        <v>93</v>
      </c>
      <c r="B6" s="28" t="s">
        <v>51</v>
      </c>
      <c r="C6" s="55">
        <v>22</v>
      </c>
      <c r="D6" s="28"/>
    </row>
    <row r="7" spans="1:4" ht="12.75">
      <c r="A7" s="28" t="s">
        <v>94</v>
      </c>
      <c r="B7" s="28" t="s">
        <v>51</v>
      </c>
      <c r="C7" s="55">
        <v>10</v>
      </c>
      <c r="D7" s="28"/>
    </row>
    <row r="8" spans="1:4" ht="12.75">
      <c r="A8" s="28" t="s">
        <v>95</v>
      </c>
      <c r="B8" s="28" t="s">
        <v>51</v>
      </c>
      <c r="C8" s="55">
        <v>24.7</v>
      </c>
      <c r="D8" s="28"/>
    </row>
    <row r="9" spans="1:4" ht="12.75">
      <c r="A9" s="28" t="s">
        <v>87</v>
      </c>
      <c r="B9" s="28" t="s">
        <v>42</v>
      </c>
      <c r="C9" s="55">
        <v>2921</v>
      </c>
      <c r="D9" s="28"/>
    </row>
    <row r="10" spans="1:4" ht="12.75">
      <c r="A10" s="28" t="s">
        <v>50</v>
      </c>
      <c r="B10" s="28" t="s">
        <v>48</v>
      </c>
      <c r="C10" s="55">
        <v>8</v>
      </c>
      <c r="D10" s="28"/>
    </row>
    <row r="11" spans="1:4" ht="12.75">
      <c r="A11" s="28" t="s">
        <v>52</v>
      </c>
      <c r="B11" s="28" t="s">
        <v>42</v>
      </c>
      <c r="C11" s="55">
        <v>2.84</v>
      </c>
      <c r="D11" s="28"/>
    </row>
    <row r="12" spans="1:4" ht="12.75">
      <c r="A12" s="28" t="s">
        <v>86</v>
      </c>
      <c r="B12" s="28" t="s">
        <v>85</v>
      </c>
      <c r="C12" s="55">
        <v>1.19</v>
      </c>
      <c r="D12" s="28"/>
    </row>
    <row r="13" spans="1:4" ht="12.75">
      <c r="A13" s="28"/>
      <c r="B13" s="28"/>
      <c r="C13" s="28"/>
      <c r="D13" s="28"/>
    </row>
    <row r="14" spans="1:4" ht="12.75">
      <c r="A14" s="13" t="s">
        <v>90</v>
      </c>
      <c r="B14" s="28" t="s">
        <v>235</v>
      </c>
      <c r="C14" s="28"/>
      <c r="D14" s="28"/>
    </row>
    <row r="15" spans="1:4" ht="12.75">
      <c r="A15" s="28"/>
      <c r="B15" s="28"/>
      <c r="C15" s="28"/>
      <c r="D15" s="28"/>
    </row>
    <row r="16" spans="1:4" ht="14.25">
      <c r="A16" s="28" t="s">
        <v>92</v>
      </c>
      <c r="B16" s="14" t="s">
        <v>47</v>
      </c>
      <c r="C16" s="55">
        <f>(1197*1.8)+32</f>
        <v>2186.6</v>
      </c>
      <c r="D16" s="28"/>
    </row>
    <row r="17" spans="1:4" ht="12.75">
      <c r="A17" s="28" t="s">
        <v>93</v>
      </c>
      <c r="B17" s="28" t="s">
        <v>51</v>
      </c>
      <c r="C17" s="55">
        <v>15</v>
      </c>
      <c r="D17" s="28"/>
    </row>
    <row r="18" spans="1:4" ht="12.75">
      <c r="A18" s="28" t="s">
        <v>94</v>
      </c>
      <c r="B18" s="28" t="s">
        <v>51</v>
      </c>
      <c r="C18" s="55">
        <v>16</v>
      </c>
      <c r="D18" s="28"/>
    </row>
    <row r="19" spans="1:4" ht="12.75">
      <c r="A19" s="28" t="s">
        <v>95</v>
      </c>
      <c r="B19" s="28" t="s">
        <v>51</v>
      </c>
      <c r="C19" s="55">
        <v>25</v>
      </c>
      <c r="D19" s="28"/>
    </row>
    <row r="20" spans="1:4" ht="12.75">
      <c r="A20" s="28" t="s">
        <v>87</v>
      </c>
      <c r="B20" s="28" t="s">
        <v>42</v>
      </c>
      <c r="C20" s="55">
        <v>12496</v>
      </c>
      <c r="D20" s="28"/>
    </row>
    <row r="21" spans="1:4" ht="12.75">
      <c r="A21" s="28" t="s">
        <v>50</v>
      </c>
      <c r="B21" s="28" t="s">
        <v>48</v>
      </c>
      <c r="C21" s="55">
        <v>9</v>
      </c>
      <c r="D21" s="28"/>
    </row>
    <row r="22" spans="1:4" ht="12.75">
      <c r="A22" s="28" t="s">
        <v>97</v>
      </c>
      <c r="B22" s="28" t="s">
        <v>42</v>
      </c>
      <c r="C22" s="55">
        <v>4.29</v>
      </c>
      <c r="D22" s="28"/>
    </row>
    <row r="23" spans="1:4" ht="12.75">
      <c r="A23" s="28" t="s">
        <v>96</v>
      </c>
      <c r="B23" s="28" t="s">
        <v>85</v>
      </c>
      <c r="C23" s="55">
        <v>2.3</v>
      </c>
      <c r="D23" s="28"/>
    </row>
    <row r="24" spans="1:4" ht="12.75">
      <c r="A24" s="13"/>
      <c r="B24" s="28"/>
      <c r="C24" s="55"/>
      <c r="D24" s="28"/>
    </row>
    <row r="25" spans="1:4" ht="12.75">
      <c r="A25" s="13" t="s">
        <v>181</v>
      </c>
      <c r="B25" s="28" t="s">
        <v>234</v>
      </c>
      <c r="C25" s="28"/>
      <c r="D25" s="28"/>
    </row>
    <row r="26" spans="1:2" ht="12.75">
      <c r="A26" s="28"/>
      <c r="B26" s="28"/>
    </row>
    <row r="27" spans="1:3" ht="14.25">
      <c r="A27" s="28" t="s">
        <v>92</v>
      </c>
      <c r="B27" s="14" t="s">
        <v>47</v>
      </c>
      <c r="C27" s="55">
        <f>(1449*1.8)+32</f>
        <v>2640.2000000000003</v>
      </c>
    </row>
    <row r="28" spans="1:3" ht="12.75">
      <c r="A28" s="28" t="s">
        <v>93</v>
      </c>
      <c r="B28" s="28" t="s">
        <v>51</v>
      </c>
      <c r="C28">
        <v>22</v>
      </c>
    </row>
    <row r="29" spans="1:3" ht="12.75">
      <c r="A29" s="28" t="s">
        <v>87</v>
      </c>
      <c r="B29" s="28" t="s">
        <v>182</v>
      </c>
      <c r="C29">
        <v>20.75</v>
      </c>
    </row>
    <row r="30" spans="1:3" ht="12.75">
      <c r="A30" s="28" t="s">
        <v>50</v>
      </c>
      <c r="B30" s="28" t="s">
        <v>48</v>
      </c>
      <c r="C30">
        <v>8.31</v>
      </c>
    </row>
    <row r="31" spans="1:3" ht="12.75">
      <c r="A31" s="28" t="s">
        <v>97</v>
      </c>
      <c r="B31" s="28" t="s">
        <v>42</v>
      </c>
      <c r="C31">
        <v>4.79</v>
      </c>
    </row>
    <row r="32" spans="1:3" ht="12.75">
      <c r="A32" s="28" t="s">
        <v>96</v>
      </c>
      <c r="B32" s="28" t="s">
        <v>85</v>
      </c>
      <c r="C32">
        <v>2.9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122"/>
  <sheetViews>
    <sheetView workbookViewId="0" topLeftCell="A1">
      <selection activeCell="B6" sqref="B6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6.8515625" style="0" customWidth="1"/>
    <col min="4" max="4" width="4.140625" style="17" customWidth="1"/>
    <col min="5" max="5" width="8.7109375" style="0" customWidth="1"/>
    <col min="6" max="6" width="8.140625" style="0" customWidth="1"/>
    <col min="8" max="8" width="8.140625" style="0" customWidth="1"/>
    <col min="9" max="9" width="4.57421875" style="17" customWidth="1"/>
    <col min="11" max="11" width="8.140625" style="0" customWidth="1"/>
    <col min="12" max="12" width="8.8515625" style="0" customWidth="1"/>
    <col min="13" max="13" width="8.140625" style="0" customWidth="1"/>
    <col min="14" max="14" width="4.7109375" style="17" customWidth="1"/>
    <col min="15" max="15" width="8.140625" style="0" customWidth="1"/>
    <col min="16" max="16" width="8.7109375" style="0" customWidth="1"/>
    <col min="18" max="18" width="8.7109375" style="0" customWidth="1"/>
  </cols>
  <sheetData>
    <row r="1" spans="1:18" ht="12.75">
      <c r="A1" s="66" t="s">
        <v>141</v>
      </c>
      <c r="B1" s="51"/>
      <c r="C1" s="51"/>
      <c r="D1" s="22"/>
      <c r="E1" s="67"/>
      <c r="F1" s="68"/>
      <c r="G1" s="67"/>
      <c r="H1" s="68"/>
      <c r="I1" s="69"/>
      <c r="J1" s="67"/>
      <c r="K1" s="67"/>
      <c r="L1" s="67"/>
      <c r="M1" s="67"/>
      <c r="N1" s="69"/>
      <c r="O1" s="67"/>
      <c r="P1" s="67"/>
      <c r="Q1" s="67"/>
      <c r="R1" s="67"/>
    </row>
    <row r="2" spans="1:18" ht="12.75">
      <c r="A2" s="51" t="s">
        <v>238</v>
      </c>
      <c r="B2" s="51"/>
      <c r="C2" s="51"/>
      <c r="D2" s="22"/>
      <c r="E2" s="67"/>
      <c r="F2" s="68"/>
      <c r="G2" s="67"/>
      <c r="H2" s="68"/>
      <c r="I2" s="69"/>
      <c r="J2" s="67"/>
      <c r="K2" s="67"/>
      <c r="L2" s="67"/>
      <c r="M2" s="67"/>
      <c r="N2" s="69"/>
      <c r="O2" s="67"/>
      <c r="P2" s="67"/>
      <c r="Q2" s="67"/>
      <c r="R2" s="67"/>
    </row>
    <row r="3" spans="1:18" ht="12.75">
      <c r="A3" s="51" t="s">
        <v>143</v>
      </c>
      <c r="B3" s="51"/>
      <c r="C3" s="21" t="s">
        <v>144</v>
      </c>
      <c r="D3" s="22"/>
      <c r="E3" s="67"/>
      <c r="F3" s="68"/>
      <c r="G3" s="67"/>
      <c r="H3" s="68"/>
      <c r="I3" s="69"/>
      <c r="J3" s="67"/>
      <c r="K3" s="67"/>
      <c r="L3" s="67"/>
      <c r="M3" s="67"/>
      <c r="N3" s="69"/>
      <c r="O3" s="67"/>
      <c r="P3" s="67"/>
      <c r="Q3" s="67"/>
      <c r="R3" s="67"/>
    </row>
    <row r="4" spans="1:18" ht="12.75">
      <c r="A4" s="51" t="s">
        <v>145</v>
      </c>
      <c r="B4" s="51"/>
      <c r="C4" s="21" t="s">
        <v>181</v>
      </c>
      <c r="D4" s="22"/>
      <c r="E4" s="70"/>
      <c r="F4" s="71"/>
      <c r="G4" s="70"/>
      <c r="H4" s="71"/>
      <c r="I4" s="69"/>
      <c r="J4" s="70"/>
      <c r="K4" s="70"/>
      <c r="L4" s="70"/>
      <c r="M4" s="70"/>
      <c r="N4" s="69"/>
      <c r="O4" s="70"/>
      <c r="P4" s="70"/>
      <c r="Q4" s="70"/>
      <c r="R4" s="70"/>
    </row>
    <row r="5" spans="1:18" ht="12.75">
      <c r="A5" s="51" t="s">
        <v>146</v>
      </c>
      <c r="B5" s="51"/>
      <c r="C5" s="28" t="s">
        <v>200</v>
      </c>
      <c r="D5" s="56"/>
      <c r="E5" s="28"/>
      <c r="F5" s="28"/>
      <c r="G5" s="28"/>
      <c r="H5" s="28"/>
      <c r="I5" s="56"/>
      <c r="J5" s="28"/>
      <c r="K5" s="67"/>
      <c r="L5" s="67"/>
      <c r="M5" s="67"/>
      <c r="N5" s="69"/>
      <c r="O5" s="67"/>
      <c r="P5" s="67"/>
      <c r="Q5" s="67"/>
      <c r="R5" s="67"/>
    </row>
    <row r="6" spans="1:18" ht="12.75">
      <c r="A6" s="51"/>
      <c r="B6" s="51"/>
      <c r="C6" s="22"/>
      <c r="D6" s="22"/>
      <c r="E6" s="69"/>
      <c r="F6" s="68"/>
      <c r="G6" s="69"/>
      <c r="H6" s="68"/>
      <c r="I6" s="69"/>
      <c r="J6" s="69"/>
      <c r="K6" s="67"/>
      <c r="L6" s="69"/>
      <c r="M6" s="67"/>
      <c r="N6" s="69"/>
      <c r="O6" s="69"/>
      <c r="P6" s="67"/>
      <c r="Q6" s="69"/>
      <c r="R6" s="67"/>
    </row>
    <row r="7" spans="1:18" s="87" customFormat="1" ht="12.75">
      <c r="A7" s="51"/>
      <c r="B7" s="51"/>
      <c r="C7" s="22" t="s">
        <v>147</v>
      </c>
      <c r="D7" s="22"/>
      <c r="E7" s="72" t="s">
        <v>148</v>
      </c>
      <c r="F7" s="72"/>
      <c r="G7" s="72"/>
      <c r="H7" s="72"/>
      <c r="I7" s="73"/>
      <c r="J7" s="72" t="s">
        <v>149</v>
      </c>
      <c r="K7" s="72"/>
      <c r="L7" s="72"/>
      <c r="M7" s="72"/>
      <c r="N7" s="73"/>
      <c r="O7" s="72" t="s">
        <v>150</v>
      </c>
      <c r="P7" s="72"/>
      <c r="Q7" s="72"/>
      <c r="R7" s="72"/>
    </row>
    <row r="8" spans="1:18" s="87" customFormat="1" ht="12.75">
      <c r="A8" s="51"/>
      <c r="B8" s="51"/>
      <c r="C8" s="22" t="s">
        <v>151</v>
      </c>
      <c r="D8" s="22"/>
      <c r="E8" s="69" t="s">
        <v>152</v>
      </c>
      <c r="F8" s="71" t="s">
        <v>153</v>
      </c>
      <c r="G8" s="69" t="s">
        <v>152</v>
      </c>
      <c r="H8" s="71" t="s">
        <v>153</v>
      </c>
      <c r="I8" s="69"/>
      <c r="J8" s="69" t="s">
        <v>152</v>
      </c>
      <c r="K8" s="69" t="s">
        <v>154</v>
      </c>
      <c r="L8" s="69" t="s">
        <v>152</v>
      </c>
      <c r="M8" s="69" t="s">
        <v>154</v>
      </c>
      <c r="N8" s="69"/>
      <c r="O8" s="69" t="s">
        <v>152</v>
      </c>
      <c r="P8" s="69" t="s">
        <v>154</v>
      </c>
      <c r="Q8" s="69" t="s">
        <v>152</v>
      </c>
      <c r="R8" s="69" t="s">
        <v>154</v>
      </c>
    </row>
    <row r="9" spans="1:18" s="87" customFormat="1" ht="12.75">
      <c r="A9" s="51"/>
      <c r="B9" s="51"/>
      <c r="C9" s="22"/>
      <c r="D9" s="22"/>
      <c r="E9" s="69" t="s">
        <v>236</v>
      </c>
      <c r="F9" s="69" t="s">
        <v>236</v>
      </c>
      <c r="G9" s="69" t="s">
        <v>155</v>
      </c>
      <c r="H9" s="71" t="s">
        <v>156</v>
      </c>
      <c r="I9" s="69"/>
      <c r="J9" s="69" t="s">
        <v>236</v>
      </c>
      <c r="K9" s="69" t="s">
        <v>236</v>
      </c>
      <c r="L9" s="69" t="s">
        <v>156</v>
      </c>
      <c r="M9" s="71" t="s">
        <v>156</v>
      </c>
      <c r="N9" s="69"/>
      <c r="O9" s="69" t="s">
        <v>236</v>
      </c>
      <c r="P9" s="69" t="s">
        <v>236</v>
      </c>
      <c r="Q9" s="69" t="s">
        <v>156</v>
      </c>
      <c r="R9" s="71" t="s">
        <v>156</v>
      </c>
    </row>
    <row r="10" spans="1:18" ht="12.75">
      <c r="A10" s="51" t="s">
        <v>157</v>
      </c>
      <c r="B10" s="51"/>
      <c r="C10" s="51"/>
      <c r="D10" s="22"/>
      <c r="E10" s="67"/>
      <c r="F10" s="68"/>
      <c r="G10" s="67"/>
      <c r="H10" s="68"/>
      <c r="I10" s="69"/>
      <c r="J10" s="67"/>
      <c r="K10" s="67"/>
      <c r="L10" s="67"/>
      <c r="M10" s="67"/>
      <c r="N10" s="69"/>
      <c r="O10" s="54"/>
      <c r="P10" s="67"/>
      <c r="Q10" s="67"/>
      <c r="R10" s="67"/>
    </row>
    <row r="11" spans="1:18" ht="12.75">
      <c r="A11" s="51"/>
      <c r="B11" s="51" t="s">
        <v>158</v>
      </c>
      <c r="C11" s="22">
        <v>1</v>
      </c>
      <c r="D11" s="71" t="s">
        <v>25</v>
      </c>
      <c r="E11" s="54">
        <v>25.3</v>
      </c>
      <c r="F11" s="54">
        <f aca="true" t="shared" si="0" ref="F11:H37">IF(E11="","",E11*$C11)</f>
        <v>25.3</v>
      </c>
      <c r="G11" s="74">
        <f aca="true" t="shared" si="1" ref="G11:G31">IF(E11=0,"",IF(D11="nd",E11/2,E11))</f>
        <v>12.65</v>
      </c>
      <c r="H11" s="54">
        <f t="shared" si="0"/>
        <v>12.65</v>
      </c>
      <c r="I11" s="71"/>
      <c r="J11" s="54">
        <v>29.9</v>
      </c>
      <c r="K11" s="54">
        <f aca="true" t="shared" si="2" ref="K11:M37">IF(J11="","",J11*$C11)</f>
        <v>29.9</v>
      </c>
      <c r="L11" s="54">
        <f>IF(J11=0,"",IF(I11="nd",J11/2,J11))</f>
        <v>29.9</v>
      </c>
      <c r="M11" s="54">
        <f t="shared" si="2"/>
        <v>29.9</v>
      </c>
      <c r="N11" s="71"/>
      <c r="O11" s="74">
        <v>27.7</v>
      </c>
      <c r="P11" s="54">
        <f aca="true" t="shared" si="3" ref="P11:R37">IF(O11="","",O11*$C11)</f>
        <v>27.7</v>
      </c>
      <c r="Q11" s="74">
        <f>IF(O11=0,"",IF(N11="nd",O11/2,O11))</f>
        <v>27.7</v>
      </c>
      <c r="R11" s="54">
        <f t="shared" si="3"/>
        <v>27.7</v>
      </c>
    </row>
    <row r="12" spans="1:18" ht="12.75">
      <c r="A12" s="51"/>
      <c r="B12" s="51" t="s">
        <v>239</v>
      </c>
      <c r="C12" s="22">
        <v>0</v>
      </c>
      <c r="D12" s="71"/>
      <c r="E12" s="74">
        <v>2240</v>
      </c>
      <c r="F12" s="54">
        <f t="shared" si="0"/>
        <v>0</v>
      </c>
      <c r="G12" s="74">
        <f t="shared" si="1"/>
        <v>2240</v>
      </c>
      <c r="H12" s="54">
        <f t="shared" si="0"/>
        <v>0</v>
      </c>
      <c r="I12" s="71"/>
      <c r="J12" s="74">
        <v>2680</v>
      </c>
      <c r="K12" s="74">
        <f t="shared" si="2"/>
        <v>0</v>
      </c>
      <c r="L12" s="54">
        <f aca="true" t="shared" si="4" ref="L12:L37">IF(J12=0,"",IF(I12="nd",J12/2,J12))</f>
        <v>2680</v>
      </c>
      <c r="M12" s="74">
        <f t="shared" si="2"/>
        <v>0</v>
      </c>
      <c r="N12" s="75"/>
      <c r="O12" s="74">
        <v>2860</v>
      </c>
      <c r="P12" s="54">
        <f t="shared" si="3"/>
        <v>0</v>
      </c>
      <c r="Q12" s="74">
        <f aca="true" t="shared" si="5" ref="Q12:Q37">IF(O12=0,"",IF(N12="nd",O12/2,O12))</f>
        <v>2860</v>
      </c>
      <c r="R12" s="54">
        <f t="shared" si="3"/>
        <v>0</v>
      </c>
    </row>
    <row r="13" spans="1:18" ht="12.75">
      <c r="A13" s="51"/>
      <c r="B13" s="51" t="s">
        <v>159</v>
      </c>
      <c r="C13" s="22">
        <v>0.5</v>
      </c>
      <c r="D13" s="71"/>
      <c r="E13" s="54">
        <v>79</v>
      </c>
      <c r="F13" s="53">
        <f t="shared" si="0"/>
        <v>39.5</v>
      </c>
      <c r="G13" s="74">
        <f t="shared" si="1"/>
        <v>79</v>
      </c>
      <c r="H13" s="53">
        <f t="shared" si="0"/>
        <v>39.5</v>
      </c>
      <c r="I13" s="71"/>
      <c r="J13" s="53">
        <v>125</v>
      </c>
      <c r="K13" s="53">
        <f t="shared" si="2"/>
        <v>62.5</v>
      </c>
      <c r="L13" s="54">
        <f t="shared" si="4"/>
        <v>125</v>
      </c>
      <c r="M13" s="53">
        <f t="shared" si="2"/>
        <v>62.5</v>
      </c>
      <c r="N13" s="71"/>
      <c r="O13" s="63">
        <v>109</v>
      </c>
      <c r="P13" s="54">
        <f t="shared" si="3"/>
        <v>54.5</v>
      </c>
      <c r="Q13" s="74">
        <f t="shared" si="5"/>
        <v>109</v>
      </c>
      <c r="R13" s="54">
        <f t="shared" si="3"/>
        <v>54.5</v>
      </c>
    </row>
    <row r="14" spans="1:18" ht="12.75">
      <c r="A14" s="51"/>
      <c r="B14" s="51" t="s">
        <v>242</v>
      </c>
      <c r="C14" s="22">
        <v>0</v>
      </c>
      <c r="D14" s="71"/>
      <c r="E14" s="74">
        <v>2410</v>
      </c>
      <c r="F14" s="74">
        <f t="shared" si="0"/>
        <v>0</v>
      </c>
      <c r="G14" s="74">
        <f t="shared" si="1"/>
        <v>2410</v>
      </c>
      <c r="H14" s="74">
        <f t="shared" si="0"/>
        <v>0</v>
      </c>
      <c r="I14" s="71"/>
      <c r="J14" s="74">
        <v>3790</v>
      </c>
      <c r="K14" s="74">
        <f t="shared" si="2"/>
        <v>0</v>
      </c>
      <c r="L14" s="54">
        <f t="shared" si="4"/>
        <v>3790</v>
      </c>
      <c r="M14" s="74">
        <f t="shared" si="2"/>
        <v>0</v>
      </c>
      <c r="N14" s="71"/>
      <c r="O14" s="63">
        <v>3430</v>
      </c>
      <c r="P14" s="54">
        <f t="shared" si="3"/>
        <v>0</v>
      </c>
      <c r="Q14" s="74">
        <f t="shared" si="5"/>
        <v>3430</v>
      </c>
      <c r="R14" s="54">
        <f t="shared" si="3"/>
        <v>0</v>
      </c>
    </row>
    <row r="15" spans="1:18" ht="12.75">
      <c r="A15" s="51"/>
      <c r="B15" s="51" t="s">
        <v>160</v>
      </c>
      <c r="C15" s="22">
        <v>0.1</v>
      </c>
      <c r="D15" s="71"/>
      <c r="E15" s="54">
        <v>48</v>
      </c>
      <c r="F15" s="53">
        <f t="shared" si="0"/>
        <v>4.800000000000001</v>
      </c>
      <c r="G15" s="74">
        <f t="shared" si="1"/>
        <v>48</v>
      </c>
      <c r="H15" s="53">
        <f t="shared" si="0"/>
        <v>4.800000000000001</v>
      </c>
      <c r="I15" s="71"/>
      <c r="J15" s="54">
        <v>107</v>
      </c>
      <c r="K15" s="53">
        <f t="shared" si="2"/>
        <v>10.700000000000001</v>
      </c>
      <c r="L15" s="54">
        <f t="shared" si="4"/>
        <v>107</v>
      </c>
      <c r="M15" s="53">
        <f t="shared" si="2"/>
        <v>10.700000000000001</v>
      </c>
      <c r="N15" s="71"/>
      <c r="O15" s="55">
        <v>97</v>
      </c>
      <c r="P15" s="53">
        <f t="shared" si="3"/>
        <v>9.700000000000001</v>
      </c>
      <c r="Q15" s="74">
        <f t="shared" si="5"/>
        <v>97</v>
      </c>
      <c r="R15" s="53">
        <f t="shared" si="3"/>
        <v>9.700000000000001</v>
      </c>
    </row>
    <row r="16" spans="1:18" ht="12.75">
      <c r="A16" s="51"/>
      <c r="B16" s="51" t="s">
        <v>161</v>
      </c>
      <c r="C16" s="22">
        <v>0.1</v>
      </c>
      <c r="D16" s="71"/>
      <c r="E16" s="54">
        <v>125</v>
      </c>
      <c r="F16" s="53">
        <f t="shared" si="0"/>
        <v>12.5</v>
      </c>
      <c r="G16" s="74">
        <f t="shared" si="1"/>
        <v>125</v>
      </c>
      <c r="H16" s="53">
        <f t="shared" si="0"/>
        <v>12.5</v>
      </c>
      <c r="I16" s="71"/>
      <c r="J16" s="54">
        <v>290</v>
      </c>
      <c r="K16" s="53">
        <f t="shared" si="2"/>
        <v>29</v>
      </c>
      <c r="L16" s="54">
        <f t="shared" si="4"/>
        <v>290</v>
      </c>
      <c r="M16" s="53">
        <f t="shared" si="2"/>
        <v>29</v>
      </c>
      <c r="N16" s="71"/>
      <c r="O16" s="55">
        <v>27</v>
      </c>
      <c r="P16" s="54">
        <f t="shared" si="3"/>
        <v>2.7</v>
      </c>
      <c r="Q16" s="74">
        <f t="shared" si="5"/>
        <v>27</v>
      </c>
      <c r="R16" s="54">
        <f t="shared" si="3"/>
        <v>2.7</v>
      </c>
    </row>
    <row r="17" spans="1:18" ht="12.75">
      <c r="A17" s="51"/>
      <c r="B17" s="51" t="s">
        <v>162</v>
      </c>
      <c r="C17" s="22">
        <v>0.1</v>
      </c>
      <c r="D17" s="71"/>
      <c r="E17" s="54">
        <v>64</v>
      </c>
      <c r="F17" s="53">
        <f t="shared" si="0"/>
        <v>6.4</v>
      </c>
      <c r="G17" s="74">
        <f t="shared" si="1"/>
        <v>64</v>
      </c>
      <c r="H17" s="53">
        <f t="shared" si="0"/>
        <v>6.4</v>
      </c>
      <c r="I17" s="71"/>
      <c r="J17" s="54">
        <v>146</v>
      </c>
      <c r="K17" s="53">
        <f t="shared" si="2"/>
        <v>14.600000000000001</v>
      </c>
      <c r="L17" s="54">
        <f t="shared" si="4"/>
        <v>146</v>
      </c>
      <c r="M17" s="53">
        <f t="shared" si="2"/>
        <v>14.600000000000001</v>
      </c>
      <c r="N17" s="71"/>
      <c r="O17" s="55">
        <v>148</v>
      </c>
      <c r="P17" s="54">
        <f t="shared" si="3"/>
        <v>14.8</v>
      </c>
      <c r="Q17" s="74">
        <f t="shared" si="5"/>
        <v>148</v>
      </c>
      <c r="R17" s="54">
        <f t="shared" si="3"/>
        <v>14.8</v>
      </c>
    </row>
    <row r="18" spans="1:18" ht="12.75">
      <c r="A18" s="51"/>
      <c r="B18" s="51" t="s">
        <v>240</v>
      </c>
      <c r="C18" s="22">
        <v>0</v>
      </c>
      <c r="D18" s="71"/>
      <c r="E18" s="74">
        <v>2420</v>
      </c>
      <c r="F18" s="74">
        <f t="shared" si="0"/>
        <v>0</v>
      </c>
      <c r="G18" s="74">
        <f t="shared" si="1"/>
        <v>2420</v>
      </c>
      <c r="H18" s="74">
        <f t="shared" si="0"/>
        <v>0</v>
      </c>
      <c r="I18" s="71"/>
      <c r="J18" s="74">
        <v>5900</v>
      </c>
      <c r="K18" s="74">
        <f t="shared" si="2"/>
        <v>0</v>
      </c>
      <c r="L18" s="74">
        <f t="shared" si="4"/>
        <v>5900</v>
      </c>
      <c r="M18" s="74">
        <f t="shared" si="2"/>
        <v>0</v>
      </c>
      <c r="N18" s="71"/>
      <c r="O18" s="63">
        <v>5300</v>
      </c>
      <c r="P18" s="74">
        <f t="shared" si="3"/>
        <v>0</v>
      </c>
      <c r="Q18" s="74">
        <f t="shared" si="5"/>
        <v>5300</v>
      </c>
      <c r="R18" s="74">
        <f t="shared" si="3"/>
        <v>0</v>
      </c>
    </row>
    <row r="19" spans="1:18" ht="12.75">
      <c r="A19" s="51"/>
      <c r="B19" s="51" t="s">
        <v>163</v>
      </c>
      <c r="C19" s="22">
        <v>0.01</v>
      </c>
      <c r="D19" s="71"/>
      <c r="E19" s="74">
        <v>400</v>
      </c>
      <c r="F19" s="53">
        <f t="shared" si="0"/>
        <v>4</v>
      </c>
      <c r="G19" s="74">
        <f t="shared" si="1"/>
        <v>400</v>
      </c>
      <c r="H19" s="53">
        <f t="shared" si="0"/>
        <v>4</v>
      </c>
      <c r="I19" s="71"/>
      <c r="J19" s="74">
        <v>1010</v>
      </c>
      <c r="K19" s="53">
        <f t="shared" si="2"/>
        <v>10.1</v>
      </c>
      <c r="L19" s="74">
        <f t="shared" si="4"/>
        <v>1010</v>
      </c>
      <c r="M19" s="53">
        <f t="shared" si="2"/>
        <v>10.1</v>
      </c>
      <c r="N19" s="71"/>
      <c r="O19" s="63">
        <v>1090</v>
      </c>
      <c r="P19" s="53">
        <f t="shared" si="3"/>
        <v>10.9</v>
      </c>
      <c r="Q19" s="74">
        <f t="shared" si="5"/>
        <v>1090</v>
      </c>
      <c r="R19" s="53">
        <f t="shared" si="3"/>
        <v>10.9</v>
      </c>
    </row>
    <row r="20" spans="1:18" ht="12.75">
      <c r="A20" s="51"/>
      <c r="B20" s="51" t="s">
        <v>241</v>
      </c>
      <c r="C20" s="22">
        <v>0</v>
      </c>
      <c r="D20" s="71"/>
      <c r="E20" s="74">
        <v>740</v>
      </c>
      <c r="F20" s="74">
        <f t="shared" si="0"/>
        <v>0</v>
      </c>
      <c r="G20" s="74">
        <f t="shared" si="1"/>
        <v>740</v>
      </c>
      <c r="H20" s="74">
        <f t="shared" si="0"/>
        <v>0</v>
      </c>
      <c r="I20" s="71"/>
      <c r="J20" s="74">
        <v>1830</v>
      </c>
      <c r="K20" s="74">
        <f t="shared" si="2"/>
        <v>0</v>
      </c>
      <c r="L20" s="74">
        <f t="shared" si="4"/>
        <v>1830</v>
      </c>
      <c r="M20" s="74">
        <f t="shared" si="2"/>
        <v>0</v>
      </c>
      <c r="N20" s="71"/>
      <c r="O20" s="63">
        <v>1880</v>
      </c>
      <c r="P20" s="74">
        <f t="shared" si="3"/>
        <v>0</v>
      </c>
      <c r="Q20" s="74">
        <f t="shared" si="5"/>
        <v>1880</v>
      </c>
      <c r="R20" s="74">
        <f t="shared" si="3"/>
        <v>0</v>
      </c>
    </row>
    <row r="21" spans="1:18" ht="12.75">
      <c r="A21" s="51"/>
      <c r="B21" s="51" t="s">
        <v>164</v>
      </c>
      <c r="C21" s="22">
        <v>0.001</v>
      </c>
      <c r="D21" s="71"/>
      <c r="E21" s="74">
        <v>380</v>
      </c>
      <c r="F21" s="52">
        <f t="shared" si="0"/>
        <v>0.38</v>
      </c>
      <c r="G21" s="74">
        <f t="shared" si="1"/>
        <v>380</v>
      </c>
      <c r="H21" s="52">
        <f t="shared" si="0"/>
        <v>0.38</v>
      </c>
      <c r="I21" s="71"/>
      <c r="J21" s="74">
        <v>930</v>
      </c>
      <c r="K21" s="53">
        <f t="shared" si="2"/>
        <v>0.93</v>
      </c>
      <c r="L21" s="74">
        <f t="shared" si="4"/>
        <v>930</v>
      </c>
      <c r="M21" s="53">
        <f t="shared" si="2"/>
        <v>0.93</v>
      </c>
      <c r="N21" s="71"/>
      <c r="O21" s="63">
        <v>1060</v>
      </c>
      <c r="P21" s="52">
        <f t="shared" si="3"/>
        <v>1.06</v>
      </c>
      <c r="Q21" s="74">
        <f t="shared" si="5"/>
        <v>1060</v>
      </c>
      <c r="R21" s="52">
        <f t="shared" si="3"/>
        <v>1.06</v>
      </c>
    </row>
    <row r="22" spans="1:18" ht="12.75">
      <c r="A22" s="51"/>
      <c r="B22" s="51" t="s">
        <v>248</v>
      </c>
      <c r="C22" s="22">
        <v>0</v>
      </c>
      <c r="D22" s="71"/>
      <c r="E22" s="74">
        <v>8190</v>
      </c>
      <c r="F22" s="52">
        <f t="shared" si="0"/>
        <v>0</v>
      </c>
      <c r="G22" s="74">
        <f>IF(E22=0,"",IF(D22="nd",E22/2,E22))</f>
        <v>8190</v>
      </c>
      <c r="H22" s="52">
        <f t="shared" si="0"/>
        <v>0</v>
      </c>
      <c r="I22" s="71"/>
      <c r="J22" s="74">
        <v>15100</v>
      </c>
      <c r="K22" s="74">
        <f t="shared" si="2"/>
        <v>0</v>
      </c>
      <c r="L22" s="74">
        <f>IF(J22=0,"",IF(I22="nd",J22/2,J22))</f>
        <v>15100</v>
      </c>
      <c r="M22" s="74">
        <f t="shared" si="2"/>
        <v>0</v>
      </c>
      <c r="N22" s="71"/>
      <c r="O22" s="63">
        <v>14500</v>
      </c>
      <c r="P22" s="74">
        <f t="shared" si="3"/>
        <v>0</v>
      </c>
      <c r="Q22" s="74">
        <f>IF(O22=0,"",IF(N22="nd",O22/2,O22))</f>
        <v>14500</v>
      </c>
      <c r="R22" s="74">
        <f t="shared" si="3"/>
        <v>0</v>
      </c>
    </row>
    <row r="23" spans="1:18" ht="12.75">
      <c r="A23" s="51"/>
      <c r="B23" s="51" t="s">
        <v>165</v>
      </c>
      <c r="C23" s="22">
        <v>0.1</v>
      </c>
      <c r="D23" s="71"/>
      <c r="E23" s="74">
        <v>232</v>
      </c>
      <c r="F23" s="53">
        <f t="shared" si="0"/>
        <v>23.200000000000003</v>
      </c>
      <c r="G23" s="74">
        <f t="shared" si="1"/>
        <v>232</v>
      </c>
      <c r="H23" s="53">
        <f t="shared" si="0"/>
        <v>23.200000000000003</v>
      </c>
      <c r="I23" s="71"/>
      <c r="J23" s="74">
        <v>280</v>
      </c>
      <c r="K23" s="74">
        <f t="shared" si="2"/>
        <v>28</v>
      </c>
      <c r="L23" s="74">
        <f t="shared" si="4"/>
        <v>280</v>
      </c>
      <c r="M23" s="74">
        <f t="shared" si="2"/>
        <v>28</v>
      </c>
      <c r="N23" s="71"/>
      <c r="O23" s="63">
        <v>253</v>
      </c>
      <c r="P23" s="74">
        <f t="shared" si="3"/>
        <v>25.3</v>
      </c>
      <c r="Q23" s="74">
        <f t="shared" si="5"/>
        <v>253</v>
      </c>
      <c r="R23" s="74">
        <f t="shared" si="3"/>
        <v>25.3</v>
      </c>
    </row>
    <row r="24" spans="1:18" ht="12.75">
      <c r="A24" s="51"/>
      <c r="B24" s="51" t="s">
        <v>243</v>
      </c>
      <c r="C24" s="22">
        <v>0</v>
      </c>
      <c r="D24" s="71"/>
      <c r="E24" s="74">
        <v>4190</v>
      </c>
      <c r="F24" s="74">
        <f t="shared" si="0"/>
        <v>0</v>
      </c>
      <c r="G24" s="74">
        <f t="shared" si="1"/>
        <v>4190</v>
      </c>
      <c r="H24" s="74">
        <f t="shared" si="0"/>
        <v>0</v>
      </c>
      <c r="I24" s="71"/>
      <c r="J24" s="74">
        <v>4690</v>
      </c>
      <c r="K24" s="74">
        <f t="shared" si="2"/>
        <v>0</v>
      </c>
      <c r="L24" s="74">
        <f t="shared" si="4"/>
        <v>4690</v>
      </c>
      <c r="M24" s="74">
        <f t="shared" si="2"/>
        <v>0</v>
      </c>
      <c r="N24" s="71"/>
      <c r="O24" s="63">
        <v>3940</v>
      </c>
      <c r="P24" s="74">
        <f t="shared" si="3"/>
        <v>0</v>
      </c>
      <c r="Q24" s="74">
        <f t="shared" si="5"/>
        <v>3940</v>
      </c>
      <c r="R24" s="74">
        <f t="shared" si="3"/>
        <v>0</v>
      </c>
    </row>
    <row r="25" spans="1:18" ht="12.75">
      <c r="A25" s="51"/>
      <c r="B25" s="51" t="s">
        <v>166</v>
      </c>
      <c r="C25" s="22">
        <v>0.05</v>
      </c>
      <c r="D25" s="71"/>
      <c r="E25" s="74">
        <v>382</v>
      </c>
      <c r="F25" s="53">
        <f t="shared" si="0"/>
        <v>19.1</v>
      </c>
      <c r="G25" s="74">
        <f t="shared" si="1"/>
        <v>382</v>
      </c>
      <c r="H25" s="53">
        <f t="shared" si="0"/>
        <v>19.1</v>
      </c>
      <c r="I25" s="71"/>
      <c r="J25" s="74">
        <v>530</v>
      </c>
      <c r="K25" s="54">
        <f t="shared" si="2"/>
        <v>26.5</v>
      </c>
      <c r="L25" s="74">
        <f t="shared" si="4"/>
        <v>530</v>
      </c>
      <c r="M25" s="54">
        <f t="shared" si="2"/>
        <v>26.5</v>
      </c>
      <c r="N25" s="71"/>
      <c r="O25" s="63">
        <v>480</v>
      </c>
      <c r="P25" s="74">
        <f t="shared" si="3"/>
        <v>24</v>
      </c>
      <c r="Q25" s="74">
        <f t="shared" si="5"/>
        <v>480</v>
      </c>
      <c r="R25" s="74">
        <f t="shared" si="3"/>
        <v>24</v>
      </c>
    </row>
    <row r="26" spans="1:18" ht="12.75">
      <c r="A26" s="51"/>
      <c r="B26" s="51" t="s">
        <v>167</v>
      </c>
      <c r="C26" s="22">
        <v>0.5</v>
      </c>
      <c r="D26" s="71"/>
      <c r="E26" s="74">
        <v>356</v>
      </c>
      <c r="F26" s="53">
        <f t="shared" si="0"/>
        <v>178</v>
      </c>
      <c r="G26" s="74">
        <f t="shared" si="1"/>
        <v>356</v>
      </c>
      <c r="H26" s="53">
        <f t="shared" si="0"/>
        <v>178</v>
      </c>
      <c r="I26" s="71"/>
      <c r="J26" s="74">
        <v>550</v>
      </c>
      <c r="K26" s="74">
        <f t="shared" si="2"/>
        <v>275</v>
      </c>
      <c r="L26" s="74">
        <f t="shared" si="4"/>
        <v>550</v>
      </c>
      <c r="M26" s="74">
        <f t="shared" si="2"/>
        <v>275</v>
      </c>
      <c r="N26" s="71"/>
      <c r="O26" s="63">
        <v>540</v>
      </c>
      <c r="P26" s="54">
        <f t="shared" si="3"/>
        <v>270</v>
      </c>
      <c r="Q26" s="74">
        <f t="shared" si="5"/>
        <v>540</v>
      </c>
      <c r="R26" s="54">
        <f t="shared" si="3"/>
        <v>270</v>
      </c>
    </row>
    <row r="27" spans="1:18" ht="12.75">
      <c r="A27" s="51"/>
      <c r="B27" s="51" t="s">
        <v>244</v>
      </c>
      <c r="C27" s="22">
        <v>0</v>
      </c>
      <c r="D27" s="71"/>
      <c r="E27" s="74">
        <v>4170</v>
      </c>
      <c r="F27" s="54">
        <f t="shared" si="0"/>
        <v>0</v>
      </c>
      <c r="G27" s="74">
        <f t="shared" si="1"/>
        <v>4170</v>
      </c>
      <c r="H27" s="54">
        <f t="shared" si="0"/>
        <v>0</v>
      </c>
      <c r="I27" s="71"/>
      <c r="J27" s="74">
        <v>5200</v>
      </c>
      <c r="K27" s="74">
        <f t="shared" si="2"/>
        <v>0</v>
      </c>
      <c r="L27" s="74">
        <f t="shared" si="4"/>
        <v>5200</v>
      </c>
      <c r="M27" s="74">
        <f t="shared" si="2"/>
        <v>0</v>
      </c>
      <c r="N27" s="71"/>
      <c r="O27" s="63">
        <v>4800</v>
      </c>
      <c r="P27" s="74">
        <f t="shared" si="3"/>
        <v>0</v>
      </c>
      <c r="Q27" s="74">
        <f t="shared" si="5"/>
        <v>4800</v>
      </c>
      <c r="R27" s="74">
        <f t="shared" si="3"/>
        <v>0</v>
      </c>
    </row>
    <row r="28" spans="1:18" ht="12.75">
      <c r="A28" s="51"/>
      <c r="B28" s="51" t="s">
        <v>168</v>
      </c>
      <c r="C28" s="22">
        <v>0.1</v>
      </c>
      <c r="D28" s="71"/>
      <c r="E28" s="74">
        <v>387</v>
      </c>
      <c r="F28" s="53">
        <f t="shared" si="0"/>
        <v>38.7</v>
      </c>
      <c r="G28" s="74">
        <f t="shared" si="1"/>
        <v>387</v>
      </c>
      <c r="H28" s="53">
        <f t="shared" si="0"/>
        <v>38.7</v>
      </c>
      <c r="I28" s="71"/>
      <c r="J28" s="74">
        <v>660</v>
      </c>
      <c r="K28" s="74">
        <f t="shared" si="2"/>
        <v>66</v>
      </c>
      <c r="L28" s="74">
        <f t="shared" si="4"/>
        <v>660</v>
      </c>
      <c r="M28" s="74">
        <f t="shared" si="2"/>
        <v>66</v>
      </c>
      <c r="N28" s="71"/>
      <c r="O28" s="63">
        <v>590</v>
      </c>
      <c r="P28" s="74">
        <f t="shared" si="3"/>
        <v>59</v>
      </c>
      <c r="Q28" s="74">
        <f t="shared" si="5"/>
        <v>590</v>
      </c>
      <c r="R28" s="74">
        <f t="shared" si="3"/>
        <v>59</v>
      </c>
    </row>
    <row r="29" spans="1:18" ht="12.75">
      <c r="A29" s="51"/>
      <c r="B29" s="51" t="s">
        <v>169</v>
      </c>
      <c r="C29" s="22">
        <v>0.1</v>
      </c>
      <c r="D29" s="71"/>
      <c r="E29" s="74">
        <v>363</v>
      </c>
      <c r="F29" s="53">
        <f t="shared" si="0"/>
        <v>36.300000000000004</v>
      </c>
      <c r="G29" s="74">
        <f t="shared" si="1"/>
        <v>363</v>
      </c>
      <c r="H29" s="53">
        <f t="shared" si="0"/>
        <v>36.300000000000004</v>
      </c>
      <c r="I29" s="71"/>
      <c r="J29" s="74">
        <v>590</v>
      </c>
      <c r="K29" s="54">
        <f t="shared" si="2"/>
        <v>59</v>
      </c>
      <c r="L29" s="74">
        <f t="shared" si="4"/>
        <v>590</v>
      </c>
      <c r="M29" s="54">
        <f t="shared" si="2"/>
        <v>59</v>
      </c>
      <c r="N29" s="71"/>
      <c r="O29" s="63">
        <v>560</v>
      </c>
      <c r="P29" s="74">
        <f t="shared" si="3"/>
        <v>56</v>
      </c>
      <c r="Q29" s="74">
        <f t="shared" si="5"/>
        <v>560</v>
      </c>
      <c r="R29" s="74">
        <f t="shared" si="3"/>
        <v>56</v>
      </c>
    </row>
    <row r="30" spans="1:18" ht="12.75">
      <c r="A30" s="51"/>
      <c r="B30" s="51" t="s">
        <v>170</v>
      </c>
      <c r="C30" s="22">
        <v>0.1</v>
      </c>
      <c r="D30" s="71"/>
      <c r="E30" s="74">
        <v>117</v>
      </c>
      <c r="F30" s="53">
        <f t="shared" si="0"/>
        <v>11.700000000000001</v>
      </c>
      <c r="G30" s="74">
        <f t="shared" si="1"/>
        <v>117</v>
      </c>
      <c r="H30" s="53">
        <f t="shared" si="0"/>
        <v>11.700000000000001</v>
      </c>
      <c r="I30" s="71"/>
      <c r="J30" s="74">
        <v>210</v>
      </c>
      <c r="K30" s="54">
        <f t="shared" si="2"/>
        <v>21</v>
      </c>
      <c r="L30" s="74">
        <f t="shared" si="4"/>
        <v>210</v>
      </c>
      <c r="M30" s="54">
        <f t="shared" si="2"/>
        <v>21</v>
      </c>
      <c r="N30" s="71"/>
      <c r="O30" s="63">
        <v>218</v>
      </c>
      <c r="P30" s="54">
        <f t="shared" si="3"/>
        <v>21.8</v>
      </c>
      <c r="Q30" s="74">
        <f t="shared" si="5"/>
        <v>218</v>
      </c>
      <c r="R30" s="54">
        <f t="shared" si="3"/>
        <v>21.8</v>
      </c>
    </row>
    <row r="31" spans="1:18" ht="12.75">
      <c r="A31" s="51"/>
      <c r="B31" s="51" t="s">
        <v>171</v>
      </c>
      <c r="C31" s="22">
        <v>0.1</v>
      </c>
      <c r="D31" s="71"/>
      <c r="E31" s="74">
        <v>212</v>
      </c>
      <c r="F31" s="53">
        <f t="shared" si="0"/>
        <v>21.200000000000003</v>
      </c>
      <c r="G31" s="74">
        <f t="shared" si="1"/>
        <v>212</v>
      </c>
      <c r="H31" s="53">
        <f t="shared" si="0"/>
        <v>21.200000000000003</v>
      </c>
      <c r="I31" s="71"/>
      <c r="J31" s="74">
        <v>400</v>
      </c>
      <c r="K31" s="74">
        <f t="shared" si="2"/>
        <v>40</v>
      </c>
      <c r="L31" s="74">
        <f t="shared" si="4"/>
        <v>400</v>
      </c>
      <c r="M31" s="74">
        <f t="shared" si="2"/>
        <v>40</v>
      </c>
      <c r="N31" s="71"/>
      <c r="O31" s="63">
        <v>410</v>
      </c>
      <c r="P31" s="54">
        <f t="shared" si="3"/>
        <v>41</v>
      </c>
      <c r="Q31" s="74">
        <f t="shared" si="5"/>
        <v>410</v>
      </c>
      <c r="R31" s="54">
        <f t="shared" si="3"/>
        <v>41</v>
      </c>
    </row>
    <row r="32" spans="1:18" ht="12.75">
      <c r="A32" s="51"/>
      <c r="B32" s="51" t="s">
        <v>245</v>
      </c>
      <c r="C32" s="22">
        <v>0</v>
      </c>
      <c r="D32" s="71"/>
      <c r="E32" s="74">
        <v>2420</v>
      </c>
      <c r="F32" s="74">
        <f t="shared" si="0"/>
        <v>0</v>
      </c>
      <c r="G32" s="54">
        <f aca="true" t="shared" si="6" ref="G32:G37">IF(E32=0,"",IF(D32="nd",E32/2,E32))</f>
        <v>2420</v>
      </c>
      <c r="H32" s="74">
        <f t="shared" si="0"/>
        <v>0</v>
      </c>
      <c r="I32" s="71"/>
      <c r="J32" s="74">
        <v>4000</v>
      </c>
      <c r="K32" s="74">
        <f t="shared" si="2"/>
        <v>0</v>
      </c>
      <c r="L32" s="74">
        <f t="shared" si="4"/>
        <v>4000</v>
      </c>
      <c r="M32" s="74">
        <f t="shared" si="2"/>
        <v>0</v>
      </c>
      <c r="N32" s="71"/>
      <c r="O32" s="63">
        <v>3800</v>
      </c>
      <c r="P32" s="74">
        <f t="shared" si="3"/>
        <v>0</v>
      </c>
      <c r="Q32" s="74">
        <f t="shared" si="5"/>
        <v>3800</v>
      </c>
      <c r="R32" s="74">
        <f t="shared" si="3"/>
        <v>0</v>
      </c>
    </row>
    <row r="33" spans="1:18" ht="12.75">
      <c r="A33" s="51"/>
      <c r="B33" s="51" t="s">
        <v>172</v>
      </c>
      <c r="C33" s="22">
        <v>0.01</v>
      </c>
      <c r="D33" s="71"/>
      <c r="E33" s="74">
        <v>580</v>
      </c>
      <c r="F33" s="54">
        <f t="shared" si="0"/>
        <v>5.8</v>
      </c>
      <c r="G33" s="74">
        <f t="shared" si="6"/>
        <v>580</v>
      </c>
      <c r="H33" s="54">
        <f t="shared" si="0"/>
        <v>5.8</v>
      </c>
      <c r="I33" s="71"/>
      <c r="J33" s="74">
        <v>1090</v>
      </c>
      <c r="K33" s="53">
        <f t="shared" si="2"/>
        <v>10.9</v>
      </c>
      <c r="L33" s="74">
        <f t="shared" si="4"/>
        <v>1090</v>
      </c>
      <c r="M33" s="53">
        <f t="shared" si="2"/>
        <v>10.9</v>
      </c>
      <c r="N33" s="71"/>
      <c r="O33" s="63">
        <v>1070</v>
      </c>
      <c r="P33" s="53">
        <f t="shared" si="3"/>
        <v>10.700000000000001</v>
      </c>
      <c r="Q33" s="74">
        <f t="shared" si="5"/>
        <v>1070</v>
      </c>
      <c r="R33" s="53">
        <f t="shared" si="3"/>
        <v>10.700000000000001</v>
      </c>
    </row>
    <row r="34" spans="1:18" ht="12.75">
      <c r="A34" s="51"/>
      <c r="B34" s="51" t="s">
        <v>173</v>
      </c>
      <c r="C34" s="22">
        <v>0.01</v>
      </c>
      <c r="D34" s="71"/>
      <c r="E34" s="74">
        <v>180</v>
      </c>
      <c r="F34" s="53">
        <f t="shared" si="0"/>
        <v>1.8</v>
      </c>
      <c r="G34" s="74">
        <f t="shared" si="6"/>
        <v>180</v>
      </c>
      <c r="H34" s="53">
        <f t="shared" si="0"/>
        <v>1.8</v>
      </c>
      <c r="I34" s="71"/>
      <c r="J34" s="74">
        <v>370</v>
      </c>
      <c r="K34" s="53">
        <f t="shared" si="2"/>
        <v>3.7</v>
      </c>
      <c r="L34" s="74">
        <f t="shared" si="4"/>
        <v>370</v>
      </c>
      <c r="M34" s="53">
        <f t="shared" si="2"/>
        <v>3.7</v>
      </c>
      <c r="N34" s="71"/>
      <c r="O34" s="63">
        <v>400</v>
      </c>
      <c r="P34" s="53">
        <f t="shared" si="3"/>
        <v>4</v>
      </c>
      <c r="Q34" s="74">
        <f t="shared" si="5"/>
        <v>400</v>
      </c>
      <c r="R34" s="53">
        <f t="shared" si="3"/>
        <v>4</v>
      </c>
    </row>
    <row r="35" spans="1:18" ht="12.75">
      <c r="A35" s="51"/>
      <c r="B35" s="51" t="s">
        <v>246</v>
      </c>
      <c r="C35" s="22">
        <v>0</v>
      </c>
      <c r="D35" s="71"/>
      <c r="E35" s="74">
        <v>1120</v>
      </c>
      <c r="F35" s="74">
        <f t="shared" si="0"/>
        <v>0</v>
      </c>
      <c r="G35" s="74">
        <f t="shared" si="6"/>
        <v>1120</v>
      </c>
      <c r="H35" s="74">
        <f t="shared" si="0"/>
        <v>0</v>
      </c>
      <c r="I35" s="71"/>
      <c r="J35" s="74">
        <v>2170</v>
      </c>
      <c r="K35" s="74">
        <f t="shared" si="2"/>
        <v>0</v>
      </c>
      <c r="L35" s="74">
        <f t="shared" si="4"/>
        <v>2170</v>
      </c>
      <c r="M35" s="74">
        <f t="shared" si="2"/>
        <v>0</v>
      </c>
      <c r="N35" s="71"/>
      <c r="O35" s="63">
        <v>2260</v>
      </c>
      <c r="P35" s="74">
        <f t="shared" si="3"/>
        <v>0</v>
      </c>
      <c r="Q35" s="74">
        <f t="shared" si="5"/>
        <v>2260</v>
      </c>
      <c r="R35" s="74">
        <f t="shared" si="3"/>
        <v>0</v>
      </c>
    </row>
    <row r="36" spans="1:18" ht="12.75">
      <c r="A36" s="51"/>
      <c r="B36" s="51" t="s">
        <v>174</v>
      </c>
      <c r="C36" s="22">
        <v>0.001</v>
      </c>
      <c r="D36" s="71"/>
      <c r="E36" s="74">
        <v>199</v>
      </c>
      <c r="F36" s="53">
        <f t="shared" si="0"/>
        <v>0.199</v>
      </c>
      <c r="G36" s="74">
        <f t="shared" si="6"/>
        <v>199</v>
      </c>
      <c r="H36" s="53">
        <f t="shared" si="0"/>
        <v>0.199</v>
      </c>
      <c r="I36" s="71"/>
      <c r="J36" s="74">
        <v>350</v>
      </c>
      <c r="K36" s="52">
        <f t="shared" si="2"/>
        <v>0.35000000000000003</v>
      </c>
      <c r="L36" s="74">
        <f t="shared" si="4"/>
        <v>350</v>
      </c>
      <c r="M36" s="52">
        <f t="shared" si="2"/>
        <v>0.35000000000000003</v>
      </c>
      <c r="N36" s="71"/>
      <c r="O36" s="63">
        <v>400</v>
      </c>
      <c r="P36" s="52">
        <f t="shared" si="3"/>
        <v>0.4</v>
      </c>
      <c r="Q36" s="74">
        <f t="shared" si="5"/>
        <v>400</v>
      </c>
      <c r="R36" s="52">
        <f t="shared" si="3"/>
        <v>0.4</v>
      </c>
    </row>
    <row r="37" spans="1:18" ht="12.75">
      <c r="A37" s="51"/>
      <c r="B37" s="51" t="s">
        <v>247</v>
      </c>
      <c r="C37" s="22">
        <v>0</v>
      </c>
      <c r="D37" s="71"/>
      <c r="E37" s="74">
        <v>12100</v>
      </c>
      <c r="F37" s="74">
        <f t="shared" si="0"/>
        <v>0</v>
      </c>
      <c r="G37" s="74">
        <f t="shared" si="6"/>
        <v>12100</v>
      </c>
      <c r="H37" s="74">
        <f t="shared" si="0"/>
        <v>0</v>
      </c>
      <c r="I37" s="71"/>
      <c r="J37" s="74">
        <v>16400</v>
      </c>
      <c r="K37" s="74">
        <f t="shared" si="2"/>
        <v>0</v>
      </c>
      <c r="L37" s="74">
        <f t="shared" si="4"/>
        <v>16400</v>
      </c>
      <c r="M37" s="74">
        <f t="shared" si="2"/>
        <v>0</v>
      </c>
      <c r="N37" s="71"/>
      <c r="O37" s="63">
        <v>15200</v>
      </c>
      <c r="P37" s="74">
        <f t="shared" si="3"/>
        <v>0</v>
      </c>
      <c r="Q37" s="74">
        <f t="shared" si="5"/>
        <v>15200</v>
      </c>
      <c r="R37" s="74">
        <f t="shared" si="3"/>
        <v>0</v>
      </c>
    </row>
    <row r="38" spans="1:18" ht="12.75">
      <c r="A38" s="51"/>
      <c r="B38" s="51"/>
      <c r="C38" s="51"/>
      <c r="D38" s="22"/>
      <c r="E38" s="53"/>
      <c r="F38" s="68"/>
      <c r="G38" s="53"/>
      <c r="H38" s="68"/>
      <c r="I38" s="75"/>
      <c r="J38" s="28"/>
      <c r="K38" s="54"/>
      <c r="L38" s="54"/>
      <c r="M38" s="54"/>
      <c r="N38" s="75"/>
      <c r="O38" s="28"/>
      <c r="P38" s="67"/>
      <c r="Q38" s="53"/>
      <c r="R38" s="67"/>
    </row>
    <row r="39" spans="1:18" ht="12.75">
      <c r="A39" s="51"/>
      <c r="B39" s="51" t="s">
        <v>175</v>
      </c>
      <c r="C39" s="51"/>
      <c r="D39" s="22"/>
      <c r="E39" s="53"/>
      <c r="F39" s="53">
        <v>135.014</v>
      </c>
      <c r="G39" s="53">
        <v>135.014</v>
      </c>
      <c r="H39" s="53">
        <v>135.014</v>
      </c>
      <c r="I39" s="75"/>
      <c r="J39" s="53"/>
      <c r="K39" s="53">
        <v>137.235</v>
      </c>
      <c r="L39" s="53">
        <v>137.235</v>
      </c>
      <c r="M39" s="53">
        <v>137.235</v>
      </c>
      <c r="N39" s="75"/>
      <c r="O39" s="53"/>
      <c r="P39" s="53">
        <v>132.544</v>
      </c>
      <c r="Q39" s="53">
        <v>132.544</v>
      </c>
      <c r="R39" s="53">
        <v>132.544</v>
      </c>
    </row>
    <row r="40" spans="1:18" ht="12.75">
      <c r="A40" s="51"/>
      <c r="B40" s="51" t="s">
        <v>176</v>
      </c>
      <c r="C40" s="51"/>
      <c r="D40" s="22"/>
      <c r="E40" s="53"/>
      <c r="F40" s="54">
        <v>2.8</v>
      </c>
      <c r="G40" s="54">
        <v>2.8</v>
      </c>
      <c r="H40" s="54">
        <v>2.8</v>
      </c>
      <c r="I40" s="75"/>
      <c r="J40" s="53"/>
      <c r="K40" s="54">
        <v>2.9</v>
      </c>
      <c r="L40" s="54">
        <v>2.9</v>
      </c>
      <c r="M40" s="54">
        <v>2.9</v>
      </c>
      <c r="N40" s="75"/>
      <c r="O40" s="53"/>
      <c r="P40" s="54">
        <v>2.9</v>
      </c>
      <c r="Q40" s="54">
        <v>2.9</v>
      </c>
      <c r="R40" s="54">
        <v>2.9</v>
      </c>
    </row>
    <row r="41" spans="1:18" ht="12.75">
      <c r="A41" s="51"/>
      <c r="B41" s="51"/>
      <c r="C41" s="51"/>
      <c r="D41" s="22"/>
      <c r="E41" s="53"/>
      <c r="F41" s="28"/>
      <c r="G41" s="53"/>
      <c r="H41" s="28"/>
      <c r="I41" s="56"/>
      <c r="J41" s="53"/>
      <c r="K41" s="55"/>
      <c r="L41" s="54"/>
      <c r="M41" s="55"/>
      <c r="N41" s="75"/>
      <c r="O41" s="53"/>
      <c r="P41" s="53"/>
      <c r="Q41" s="53"/>
      <c r="R41" s="53"/>
    </row>
    <row r="42" spans="1:18" ht="12.75">
      <c r="A42" s="51"/>
      <c r="B42" s="51" t="s">
        <v>177</v>
      </c>
      <c r="C42" s="68"/>
      <c r="D42" s="71"/>
      <c r="E42" s="54"/>
      <c r="F42" s="53">
        <f>SUM(F11:F36)</f>
        <v>428.879</v>
      </c>
      <c r="G42" s="54">
        <f>SUM(G37,G22)</f>
        <v>20290</v>
      </c>
      <c r="H42" s="53">
        <f>SUM(H11:H36)</f>
        <v>416.229</v>
      </c>
      <c r="I42" s="71"/>
      <c r="J42" s="54"/>
      <c r="K42" s="52">
        <f>SUM(K11:K36)</f>
        <v>688.1800000000001</v>
      </c>
      <c r="L42" s="54">
        <f>SUM(L37,L22)</f>
        <v>31500</v>
      </c>
      <c r="M42" s="52">
        <f>SUM(M11:M36)</f>
        <v>688.1800000000001</v>
      </c>
      <c r="N42" s="71"/>
      <c r="O42" s="53"/>
      <c r="P42" s="53">
        <f>SUM(P11:P36)</f>
        <v>633.5600000000001</v>
      </c>
      <c r="Q42" s="54">
        <f>SUM(Q37,Q22)</f>
        <v>29700</v>
      </c>
      <c r="R42" s="53">
        <f>SUM(R11:R36)</f>
        <v>633.5600000000001</v>
      </c>
    </row>
    <row r="43" spans="1:18" ht="12.75">
      <c r="A43" s="51"/>
      <c r="B43" s="51" t="s">
        <v>178</v>
      </c>
      <c r="C43" s="68"/>
      <c r="D43" s="54">
        <f>(F43-H43)*2/F43*100</f>
        <v>5.899099746082263</v>
      </c>
      <c r="E43" s="53"/>
      <c r="F43" s="52">
        <f>(F42/F39/0.0283*(21-7)/(21-F40))/1000</f>
        <v>0.08634281221168037</v>
      </c>
      <c r="G43" s="52">
        <f>(G42/G39/0.0283*(21-7)/(21-G40))/1000</f>
        <v>4.084824996735663</v>
      </c>
      <c r="H43" s="52">
        <f>(H42/H39/0.0283*(21-7)/(21-H40))/1000</f>
        <v>0.08379608790371061</v>
      </c>
      <c r="I43" s="54">
        <f>(K43-M43)*2/K43*100</f>
        <v>0</v>
      </c>
      <c r="J43" s="53"/>
      <c r="K43" s="53">
        <f>K42/K39/0.0283*(21-7)/(21-K40)/1000</f>
        <v>0.13705667309265457</v>
      </c>
      <c r="L43" s="52">
        <f>(L42/L39/0.0283*(21-7)/(21-L40))/1000</f>
        <v>6.273482522622887</v>
      </c>
      <c r="M43" s="53">
        <f>M42/M39/0.0283*(21-7)/(21-M40)/1000</f>
        <v>0.13705667309265457</v>
      </c>
      <c r="N43" s="54">
        <f>(P43-R43)*2/P43*100</f>
        <v>0</v>
      </c>
      <c r="O43" s="53"/>
      <c r="P43" s="52">
        <f>P42/P39/0.0283*(21-7)/(21-P40)/1000</f>
        <v>0.13064437108311389</v>
      </c>
      <c r="Q43" s="52">
        <f>(Q42/Q39/0.0283*(21-7)/(21-Q40))/1000</f>
        <v>6.124341532243958</v>
      </c>
      <c r="R43" s="52">
        <f>R42/R39/0.0283*(21-7)/(21-R40)/1000</f>
        <v>0.13064437108311389</v>
      </c>
    </row>
    <row r="44" spans="1:18" ht="12.75">
      <c r="A44" s="51"/>
      <c r="B44" s="51"/>
      <c r="C44" s="51"/>
      <c r="D44" s="22"/>
      <c r="E44" s="52"/>
      <c r="F44" s="68"/>
      <c r="G44" s="52"/>
      <c r="H44" s="68"/>
      <c r="I44" s="76"/>
      <c r="J44" s="52"/>
      <c r="K44" s="52"/>
      <c r="L44" s="52"/>
      <c r="M44" s="52"/>
      <c r="N44" s="76"/>
      <c r="O44" s="52"/>
      <c r="P44" s="67"/>
      <c r="Q44" s="52"/>
      <c r="R44" s="67"/>
    </row>
    <row r="45" spans="1:18" ht="12.75">
      <c r="A45" s="51"/>
      <c r="B45" s="51"/>
      <c r="C45" s="51"/>
      <c r="D45" s="22"/>
      <c r="E45" s="51"/>
      <c r="F45" s="68"/>
      <c r="G45" s="51"/>
      <c r="H45" s="68"/>
      <c r="I45" s="22"/>
      <c r="J45" s="51"/>
      <c r="K45" s="51"/>
      <c r="L45" s="51"/>
      <c r="M45" s="51"/>
      <c r="N45" s="22"/>
      <c r="O45" s="51"/>
      <c r="P45" s="51"/>
      <c r="Q45" s="51"/>
      <c r="R45" s="51"/>
    </row>
    <row r="46" spans="1:18" ht="12.75">
      <c r="A46" s="51"/>
      <c r="B46" s="51" t="s">
        <v>179</v>
      </c>
      <c r="C46" s="52">
        <f>AVERAGE(H43,M43,R43)</f>
        <v>0.11716571069315969</v>
      </c>
      <c r="D46" s="22"/>
      <c r="E46" s="51"/>
      <c r="F46" s="68"/>
      <c r="G46" s="51"/>
      <c r="H46" s="68"/>
      <c r="I46" s="22"/>
      <c r="J46" s="51"/>
      <c r="K46" s="51"/>
      <c r="L46" s="51"/>
      <c r="M46" s="51"/>
      <c r="N46" s="22"/>
      <c r="O46" s="51"/>
      <c r="P46" s="51"/>
      <c r="Q46" s="51"/>
      <c r="R46" s="51"/>
    </row>
    <row r="47" spans="1:18" ht="12.75">
      <c r="A47" s="51"/>
      <c r="B47" s="51" t="s">
        <v>180</v>
      </c>
      <c r="C47" s="53">
        <f>AVERAGE(G43,L43,Q43)</f>
        <v>5.4942163505341695</v>
      </c>
      <c r="D47" s="22"/>
      <c r="E47" s="67"/>
      <c r="F47" s="68"/>
      <c r="G47" s="67"/>
      <c r="H47" s="68"/>
      <c r="I47" s="22"/>
      <c r="J47" s="51"/>
      <c r="K47" s="51"/>
      <c r="L47" s="51"/>
      <c r="M47" s="51"/>
      <c r="N47" s="22"/>
      <c r="O47" s="51"/>
      <c r="P47" s="51"/>
      <c r="Q47" s="51"/>
      <c r="R47" s="51"/>
    </row>
    <row r="48" spans="4:14" ht="12.75">
      <c r="D48"/>
      <c r="I48"/>
      <c r="N48"/>
    </row>
    <row r="49" spans="4:14" ht="12.75">
      <c r="D49"/>
      <c r="I49"/>
      <c r="N49"/>
    </row>
    <row r="50" spans="4:14" ht="12.75">
      <c r="D50"/>
      <c r="I50"/>
      <c r="N50"/>
    </row>
    <row r="51" spans="4:14" ht="12.75">
      <c r="D51"/>
      <c r="I51"/>
      <c r="N51"/>
    </row>
    <row r="52" spans="4:14" ht="12.75">
      <c r="D52"/>
      <c r="I52"/>
      <c r="N52"/>
    </row>
    <row r="53" spans="4:14" ht="12.75">
      <c r="D53"/>
      <c r="I53"/>
      <c r="N53"/>
    </row>
    <row r="54" spans="4:14" ht="12.75">
      <c r="D54"/>
      <c r="I54"/>
      <c r="N54"/>
    </row>
    <row r="55" spans="4:14" ht="12.75">
      <c r="D55"/>
      <c r="I55"/>
      <c r="N55"/>
    </row>
    <row r="56" spans="4:14" ht="12.75">
      <c r="D56"/>
      <c r="I56"/>
      <c r="N56"/>
    </row>
    <row r="57" spans="4:14" ht="12.75">
      <c r="D57"/>
      <c r="I57"/>
      <c r="N57"/>
    </row>
    <row r="58" spans="4:14" ht="12.75">
      <c r="D58"/>
      <c r="I58"/>
      <c r="N58"/>
    </row>
    <row r="59" spans="4:14" ht="12.75">
      <c r="D59"/>
      <c r="I59"/>
      <c r="N59"/>
    </row>
    <row r="60" spans="4:14" ht="12.75">
      <c r="D60"/>
      <c r="I60"/>
      <c r="N60"/>
    </row>
    <row r="61" spans="4:14" ht="12.75">
      <c r="D61"/>
      <c r="I61"/>
      <c r="N61"/>
    </row>
    <row r="62" spans="1:18" ht="12.75">
      <c r="A62" s="51"/>
      <c r="B62" s="51"/>
      <c r="C62" s="22"/>
      <c r="D62" s="22"/>
      <c r="E62" s="54"/>
      <c r="F62" s="53"/>
      <c r="G62" s="54"/>
      <c r="H62" s="53"/>
      <c r="I62" s="71"/>
      <c r="J62" s="28"/>
      <c r="K62" s="54"/>
      <c r="L62" s="54"/>
      <c r="M62" s="54"/>
      <c r="N62" s="71"/>
      <c r="O62" s="55"/>
      <c r="P62" s="68"/>
      <c r="Q62" s="54"/>
      <c r="R62" s="68"/>
    </row>
    <row r="63" spans="1:18" ht="12.75">
      <c r="A63" s="51"/>
      <c r="B63" s="51"/>
      <c r="C63" s="22"/>
      <c r="D63" s="22"/>
      <c r="E63" s="54"/>
      <c r="F63" s="53"/>
      <c r="G63" s="54"/>
      <c r="H63" s="53"/>
      <c r="I63" s="71"/>
      <c r="J63" s="28"/>
      <c r="K63" s="54"/>
      <c r="L63" s="54"/>
      <c r="M63" s="54"/>
      <c r="N63" s="71"/>
      <c r="O63" s="55"/>
      <c r="P63" s="68"/>
      <c r="Q63" s="54"/>
      <c r="R63" s="68"/>
    </row>
    <row r="64" spans="1:18" ht="12.75">
      <c r="A64" s="51"/>
      <c r="B64" s="51"/>
      <c r="C64" s="22"/>
      <c r="D64" s="22"/>
      <c r="E64" s="54"/>
      <c r="F64" s="53"/>
      <c r="G64" s="54"/>
      <c r="H64" s="53"/>
      <c r="I64" s="71"/>
      <c r="J64" s="28"/>
      <c r="K64" s="54"/>
      <c r="L64" s="54"/>
      <c r="M64" s="54"/>
      <c r="N64" s="71"/>
      <c r="O64" s="55"/>
      <c r="P64" s="68"/>
      <c r="Q64" s="54"/>
      <c r="R64" s="68"/>
    </row>
    <row r="65" spans="1:18" ht="12.75">
      <c r="A65" s="51"/>
      <c r="B65" s="51"/>
      <c r="C65" s="22"/>
      <c r="D65" s="22"/>
      <c r="E65" s="54"/>
      <c r="F65" s="53"/>
      <c r="G65" s="54"/>
      <c r="H65" s="53"/>
      <c r="I65" s="71"/>
      <c r="J65" s="28"/>
      <c r="K65" s="54"/>
      <c r="L65" s="54"/>
      <c r="M65" s="54"/>
      <c r="N65" s="71"/>
      <c r="O65" s="55"/>
      <c r="P65" s="68"/>
      <c r="Q65" s="54"/>
      <c r="R65" s="68"/>
    </row>
    <row r="66" spans="1:18" ht="12.75">
      <c r="A66" s="51"/>
      <c r="B66" s="51"/>
      <c r="C66" s="22"/>
      <c r="D66" s="22"/>
      <c r="E66" s="54"/>
      <c r="F66" s="53"/>
      <c r="G66" s="54"/>
      <c r="H66" s="53"/>
      <c r="I66" s="71"/>
      <c r="J66" s="28"/>
      <c r="K66" s="54"/>
      <c r="L66" s="54"/>
      <c r="M66" s="54"/>
      <c r="N66" s="71"/>
      <c r="O66" s="55"/>
      <c r="P66" s="68"/>
      <c r="Q66" s="54"/>
      <c r="R66" s="68"/>
    </row>
    <row r="67" spans="1:18" ht="12.75">
      <c r="A67" s="51"/>
      <c r="B67" s="51"/>
      <c r="C67" s="22"/>
      <c r="D67" s="22"/>
      <c r="E67" s="54"/>
      <c r="F67" s="53"/>
      <c r="G67" s="54"/>
      <c r="H67" s="53"/>
      <c r="I67" s="71"/>
      <c r="J67" s="28"/>
      <c r="K67" s="54"/>
      <c r="L67" s="54"/>
      <c r="M67" s="54"/>
      <c r="N67" s="71"/>
      <c r="O67" s="55"/>
      <c r="P67" s="68"/>
      <c r="Q67" s="54"/>
      <c r="R67" s="68"/>
    </row>
    <row r="68" spans="1:18" ht="12.75">
      <c r="A68" s="51"/>
      <c r="B68" s="51"/>
      <c r="C68" s="22"/>
      <c r="D68" s="22"/>
      <c r="E68" s="54"/>
      <c r="F68" s="53"/>
      <c r="G68" s="54"/>
      <c r="H68" s="53"/>
      <c r="I68" s="71"/>
      <c r="J68" s="28"/>
      <c r="K68" s="54"/>
      <c r="L68" s="54"/>
      <c r="M68" s="54"/>
      <c r="N68" s="71"/>
      <c r="O68" s="55"/>
      <c r="P68" s="68"/>
      <c r="Q68" s="54"/>
      <c r="R68" s="68"/>
    </row>
    <row r="69" spans="1:18" ht="12.75">
      <c r="A69" s="51"/>
      <c r="B69" s="51"/>
      <c r="C69" s="22"/>
      <c r="D69" s="22"/>
      <c r="E69" s="54"/>
      <c r="F69" s="53"/>
      <c r="G69" s="54"/>
      <c r="H69" s="53"/>
      <c r="I69" s="71"/>
      <c r="J69" s="28"/>
      <c r="K69" s="54"/>
      <c r="L69" s="54"/>
      <c r="M69" s="54"/>
      <c r="N69" s="71"/>
      <c r="O69" s="55"/>
      <c r="P69" s="68"/>
      <c r="Q69" s="54"/>
      <c r="R69" s="68"/>
    </row>
    <row r="70" spans="1:18" ht="12.75">
      <c r="A70" s="51"/>
      <c r="B70" s="51"/>
      <c r="C70" s="22"/>
      <c r="D70" s="22"/>
      <c r="E70" s="54"/>
      <c r="F70" s="53"/>
      <c r="G70" s="54"/>
      <c r="H70" s="53"/>
      <c r="I70" s="71"/>
      <c r="J70" s="28"/>
      <c r="K70" s="54"/>
      <c r="L70" s="54"/>
      <c r="M70" s="54"/>
      <c r="N70" s="71"/>
      <c r="O70" s="55"/>
      <c r="P70" s="68"/>
      <c r="Q70" s="54"/>
      <c r="R70" s="68"/>
    </row>
    <row r="71" spans="1:18" ht="12.75">
      <c r="A71" s="51"/>
      <c r="B71" s="51"/>
      <c r="C71" s="22"/>
      <c r="D71" s="22"/>
      <c r="E71" s="54"/>
      <c r="F71" s="53"/>
      <c r="G71" s="54"/>
      <c r="H71" s="53"/>
      <c r="I71" s="71"/>
      <c r="J71" s="28"/>
      <c r="K71" s="54"/>
      <c r="L71" s="54"/>
      <c r="M71" s="54"/>
      <c r="N71" s="71"/>
      <c r="O71" s="55"/>
      <c r="P71" s="68"/>
      <c r="Q71" s="54"/>
      <c r="R71" s="68"/>
    </row>
    <row r="72" spans="1:18" ht="12.75">
      <c r="A72" s="51"/>
      <c r="B72" s="51"/>
      <c r="C72" s="22"/>
      <c r="D72" s="22"/>
      <c r="E72" s="54"/>
      <c r="F72" s="53"/>
      <c r="G72" s="54"/>
      <c r="H72" s="53"/>
      <c r="I72" s="71"/>
      <c r="J72" s="28"/>
      <c r="K72" s="54"/>
      <c r="L72" s="54"/>
      <c r="M72" s="54"/>
      <c r="N72" s="71"/>
      <c r="O72" s="55"/>
      <c r="P72" s="68"/>
      <c r="Q72" s="54"/>
      <c r="R72" s="68"/>
    </row>
    <row r="73" spans="1:18" ht="12.75">
      <c r="A73" s="51"/>
      <c r="B73" s="51"/>
      <c r="C73" s="22"/>
      <c r="D73" s="22"/>
      <c r="E73" s="54"/>
      <c r="F73" s="53"/>
      <c r="G73" s="54"/>
      <c r="H73" s="53"/>
      <c r="I73" s="71"/>
      <c r="J73" s="28"/>
      <c r="K73" s="54"/>
      <c r="L73" s="54"/>
      <c r="M73" s="54"/>
      <c r="N73" s="71"/>
      <c r="O73" s="55"/>
      <c r="P73" s="68"/>
      <c r="Q73" s="54"/>
      <c r="R73" s="68"/>
    </row>
    <row r="74" spans="1:18" ht="12.75">
      <c r="A74" s="51"/>
      <c r="B74" s="51"/>
      <c r="C74" s="22"/>
      <c r="D74" s="22"/>
      <c r="E74" s="54"/>
      <c r="F74" s="53"/>
      <c r="G74" s="54"/>
      <c r="H74" s="53"/>
      <c r="I74" s="71"/>
      <c r="J74" s="28"/>
      <c r="K74" s="54"/>
      <c r="L74" s="54"/>
      <c r="M74" s="54"/>
      <c r="N74" s="71"/>
      <c r="O74" s="55"/>
      <c r="P74" s="68"/>
      <c r="Q74" s="54"/>
      <c r="R74" s="68"/>
    </row>
    <row r="75" spans="1:18" ht="12.75">
      <c r="A75" s="51"/>
      <c r="B75" s="51"/>
      <c r="C75" s="22"/>
      <c r="D75" s="22"/>
      <c r="E75" s="54"/>
      <c r="F75" s="53"/>
      <c r="G75" s="54"/>
      <c r="H75" s="53"/>
      <c r="I75" s="71"/>
      <c r="J75" s="28"/>
      <c r="K75" s="54"/>
      <c r="L75" s="54"/>
      <c r="M75" s="54"/>
      <c r="N75" s="71"/>
      <c r="O75" s="55"/>
      <c r="P75" s="68"/>
      <c r="Q75" s="54"/>
      <c r="R75" s="68"/>
    </row>
    <row r="76" spans="1:18" ht="12.75">
      <c r="A76" s="51"/>
      <c r="B76" s="51"/>
      <c r="C76" s="22"/>
      <c r="D76" s="22"/>
      <c r="E76" s="54"/>
      <c r="F76" s="53"/>
      <c r="G76" s="54"/>
      <c r="H76" s="53"/>
      <c r="I76" s="71"/>
      <c r="J76" s="28"/>
      <c r="K76" s="54"/>
      <c r="L76" s="54"/>
      <c r="M76" s="54"/>
      <c r="N76" s="71"/>
      <c r="O76" s="55"/>
      <c r="P76" s="68"/>
      <c r="Q76" s="54"/>
      <c r="R76" s="68"/>
    </row>
    <row r="77" spans="1:18" ht="12.75">
      <c r="A77" s="51"/>
      <c r="B77" s="51"/>
      <c r="C77" s="22"/>
      <c r="D77" s="22"/>
      <c r="E77" s="54"/>
      <c r="F77" s="53"/>
      <c r="G77" s="54"/>
      <c r="H77" s="53"/>
      <c r="I77" s="71"/>
      <c r="J77" s="28"/>
      <c r="K77" s="54"/>
      <c r="L77" s="54"/>
      <c r="M77" s="54"/>
      <c r="N77" s="71"/>
      <c r="O77" s="55"/>
      <c r="P77" s="68"/>
      <c r="Q77" s="54"/>
      <c r="R77" s="68"/>
    </row>
    <row r="78" spans="1:18" ht="12.75">
      <c r="A78" s="51"/>
      <c r="B78" s="51"/>
      <c r="C78" s="22"/>
      <c r="D78" s="22"/>
      <c r="E78" s="54"/>
      <c r="F78" s="53"/>
      <c r="G78" s="54"/>
      <c r="H78" s="53"/>
      <c r="I78" s="71"/>
      <c r="J78" s="28"/>
      <c r="K78" s="54"/>
      <c r="L78" s="54"/>
      <c r="M78" s="54"/>
      <c r="N78" s="71"/>
      <c r="O78" s="55"/>
      <c r="P78" s="68"/>
      <c r="Q78" s="54"/>
      <c r="R78" s="68"/>
    </row>
    <row r="79" spans="1:18" ht="12.75">
      <c r="A79" s="51"/>
      <c r="B79" s="51"/>
      <c r="C79" s="22"/>
      <c r="D79" s="22"/>
      <c r="E79" s="54"/>
      <c r="F79" s="53"/>
      <c r="G79" s="54"/>
      <c r="H79" s="53"/>
      <c r="I79" s="71"/>
      <c r="J79" s="28"/>
      <c r="K79" s="54"/>
      <c r="L79" s="54"/>
      <c r="M79" s="54"/>
      <c r="N79" s="71"/>
      <c r="O79" s="55"/>
      <c r="P79" s="68"/>
      <c r="Q79" s="54"/>
      <c r="R79" s="68"/>
    </row>
    <row r="80" spans="1:18" ht="12.75">
      <c r="A80" s="51"/>
      <c r="B80" s="51"/>
      <c r="C80" s="22"/>
      <c r="D80" s="22"/>
      <c r="E80" s="54"/>
      <c r="F80" s="53"/>
      <c r="G80" s="54"/>
      <c r="H80" s="53"/>
      <c r="I80" s="71"/>
      <c r="J80" s="28"/>
      <c r="K80" s="54"/>
      <c r="L80" s="54"/>
      <c r="M80" s="54"/>
      <c r="N80" s="71"/>
      <c r="O80" s="55"/>
      <c r="P80" s="68"/>
      <c r="Q80" s="54"/>
      <c r="R80" s="68"/>
    </row>
    <row r="81" spans="1:18" ht="12.75">
      <c r="A81" s="51"/>
      <c r="B81" s="51"/>
      <c r="C81" s="51"/>
      <c r="D81" s="22"/>
      <c r="E81" s="53"/>
      <c r="F81" s="68"/>
      <c r="G81" s="53"/>
      <c r="H81" s="68"/>
      <c r="I81" s="75"/>
      <c r="J81" s="53"/>
      <c r="K81" s="54"/>
      <c r="L81" s="54"/>
      <c r="M81" s="54"/>
      <c r="N81" s="75"/>
      <c r="O81" s="28"/>
      <c r="P81" s="67"/>
      <c r="Q81" s="53"/>
      <c r="R81" s="67"/>
    </row>
    <row r="82" spans="1:18" ht="12.75">
      <c r="A82" s="51"/>
      <c r="B82" s="51"/>
      <c r="C82" s="51"/>
      <c r="D82" s="22"/>
      <c r="E82" s="53"/>
      <c r="F82" s="53"/>
      <c r="G82" s="53"/>
      <c r="H82" s="53"/>
      <c r="I82" s="75"/>
      <c r="J82" s="53"/>
      <c r="K82" s="54"/>
      <c r="L82" s="54"/>
      <c r="M82" s="54"/>
      <c r="N82" s="75"/>
      <c r="O82" s="53"/>
      <c r="P82" s="53"/>
      <c r="Q82" s="53"/>
      <c r="R82" s="53"/>
    </row>
    <row r="83" spans="1:18" ht="12.75">
      <c r="A83" s="51"/>
      <c r="B83" s="51"/>
      <c r="C83" s="51"/>
      <c r="D83" s="22"/>
      <c r="E83" s="53"/>
      <c r="F83" s="53"/>
      <c r="G83" s="53"/>
      <c r="H83" s="53"/>
      <c r="I83" s="75"/>
      <c r="J83" s="53"/>
      <c r="K83" s="54"/>
      <c r="L83" s="54"/>
      <c r="M83" s="54"/>
      <c r="N83" s="75"/>
      <c r="O83" s="53"/>
      <c r="P83" s="53"/>
      <c r="Q83" s="53"/>
      <c r="R83" s="53"/>
    </row>
    <row r="84" spans="1:18" ht="12.75">
      <c r="A84" s="51"/>
      <c r="B84" s="51"/>
      <c r="C84" s="51"/>
      <c r="D84" s="22"/>
      <c r="E84" s="53"/>
      <c r="F84" s="28"/>
      <c r="G84" s="53"/>
      <c r="H84" s="28"/>
      <c r="I84" s="56"/>
      <c r="J84" s="53"/>
      <c r="K84" s="55"/>
      <c r="L84" s="54"/>
      <c r="M84" s="55"/>
      <c r="N84" s="75"/>
      <c r="O84" s="53"/>
      <c r="P84" s="53"/>
      <c r="Q84" s="53"/>
      <c r="R84" s="53"/>
    </row>
    <row r="85" spans="1:18" ht="12.75">
      <c r="A85" s="51"/>
      <c r="B85" s="51"/>
      <c r="C85" s="68"/>
      <c r="D85" s="71"/>
      <c r="E85" s="54"/>
      <c r="F85" s="53"/>
      <c r="G85" s="54"/>
      <c r="H85" s="53"/>
      <c r="I85" s="71"/>
      <c r="J85" s="54"/>
      <c r="K85" s="54"/>
      <c r="L85" s="54"/>
      <c r="M85" s="54"/>
      <c r="N85" s="71"/>
      <c r="O85" s="53"/>
      <c r="P85" s="68"/>
      <c r="Q85" s="68"/>
      <c r="R85" s="68"/>
    </row>
    <row r="86" spans="1:18" ht="12.75">
      <c r="A86" s="51"/>
      <c r="B86" s="51"/>
      <c r="C86" s="68"/>
      <c r="D86" s="71"/>
      <c r="E86" s="53"/>
      <c r="F86" s="68"/>
      <c r="G86" s="52"/>
      <c r="H86" s="68"/>
      <c r="I86" s="71"/>
      <c r="J86" s="53"/>
      <c r="K86" s="68"/>
      <c r="L86" s="54"/>
      <c r="M86" s="68"/>
      <c r="N86" s="71"/>
      <c r="O86" s="53"/>
      <c r="P86" s="52"/>
      <c r="Q86" s="52"/>
      <c r="R86" s="52"/>
    </row>
    <row r="87" spans="1:18" ht="12.75">
      <c r="A87" s="28"/>
      <c r="B87" s="28"/>
      <c r="C87" s="28"/>
      <c r="D87" s="56"/>
      <c r="E87" s="28"/>
      <c r="F87" s="28"/>
      <c r="G87" s="28"/>
      <c r="H87" s="28"/>
      <c r="I87" s="56"/>
      <c r="J87" s="28"/>
      <c r="K87" s="28"/>
      <c r="L87" s="28"/>
      <c r="M87" s="28"/>
      <c r="N87" s="56"/>
      <c r="O87" s="28"/>
      <c r="P87" s="28"/>
      <c r="Q87" s="28"/>
      <c r="R87" s="28"/>
    </row>
    <row r="88" spans="1:18" ht="12.75">
      <c r="A88" s="28"/>
      <c r="B88" s="28"/>
      <c r="C88" s="28"/>
      <c r="D88" s="56"/>
      <c r="E88" s="28"/>
      <c r="F88" s="28"/>
      <c r="G88" s="28"/>
      <c r="H88" s="28"/>
      <c r="I88" s="56"/>
      <c r="J88" s="28"/>
      <c r="K88" s="28"/>
      <c r="L88" s="28"/>
      <c r="M88" s="28"/>
      <c r="N88" s="56"/>
      <c r="O88" s="28"/>
      <c r="P88" s="28"/>
      <c r="Q88" s="28"/>
      <c r="R88" s="28"/>
    </row>
    <row r="89" spans="1:18" ht="12.75">
      <c r="A89" s="28"/>
      <c r="B89" s="28"/>
      <c r="C89" s="28"/>
      <c r="D89" s="56"/>
      <c r="E89" s="28"/>
      <c r="F89" s="28"/>
      <c r="G89" s="28"/>
      <c r="H89" s="28"/>
      <c r="I89" s="56"/>
      <c r="J89" s="28"/>
      <c r="K89" s="28"/>
      <c r="L89" s="28"/>
      <c r="M89" s="28"/>
      <c r="N89" s="56"/>
      <c r="O89" s="28"/>
      <c r="P89" s="28"/>
      <c r="Q89" s="28"/>
      <c r="R89" s="28"/>
    </row>
    <row r="90" spans="1:18" ht="12.75">
      <c r="A90" s="28"/>
      <c r="B90" s="28"/>
      <c r="C90" s="28"/>
      <c r="D90" s="56"/>
      <c r="E90" s="28"/>
      <c r="F90" s="28"/>
      <c r="G90" s="28"/>
      <c r="H90" s="28"/>
      <c r="I90" s="56"/>
      <c r="J90" s="28"/>
      <c r="K90" s="28"/>
      <c r="L90" s="28"/>
      <c r="M90" s="28"/>
      <c r="N90" s="56"/>
      <c r="O90" s="28"/>
      <c r="P90" s="28"/>
      <c r="Q90" s="28"/>
      <c r="R90" s="28"/>
    </row>
    <row r="91" spans="1:18" ht="12.75">
      <c r="A91" s="28"/>
      <c r="B91" s="28"/>
      <c r="C91" s="28"/>
      <c r="D91" s="56"/>
      <c r="E91" s="28"/>
      <c r="F91" s="28"/>
      <c r="G91" s="28"/>
      <c r="H91" s="28"/>
      <c r="I91" s="56"/>
      <c r="J91" s="28"/>
      <c r="K91" s="28"/>
      <c r="L91" s="28"/>
      <c r="M91" s="28"/>
      <c r="N91" s="56"/>
      <c r="O91" s="28"/>
      <c r="P91" s="28"/>
      <c r="Q91" s="28"/>
      <c r="R91" s="28"/>
    </row>
    <row r="92" spans="1:18" ht="12.75">
      <c r="A92" s="28"/>
      <c r="B92" s="28"/>
      <c r="C92" s="28"/>
      <c r="D92" s="56"/>
      <c r="E92" s="28"/>
      <c r="F92" s="28"/>
      <c r="G92" s="28"/>
      <c r="H92" s="28"/>
      <c r="I92" s="56"/>
      <c r="J92" s="28"/>
      <c r="K92" s="28"/>
      <c r="L92" s="28"/>
      <c r="M92" s="28"/>
      <c r="N92" s="56"/>
      <c r="O92" s="28"/>
      <c r="P92" s="28"/>
      <c r="Q92" s="28"/>
      <c r="R92" s="28"/>
    </row>
    <row r="93" spans="1:18" ht="12.75">
      <c r="A93" s="28"/>
      <c r="B93" s="28"/>
      <c r="C93" s="28"/>
      <c r="D93" s="56"/>
      <c r="E93" s="28"/>
      <c r="F93" s="28"/>
      <c r="G93" s="28"/>
      <c r="H93" s="28"/>
      <c r="I93" s="56"/>
      <c r="J93" s="28"/>
      <c r="K93" s="28"/>
      <c r="L93" s="28"/>
      <c r="M93" s="28"/>
      <c r="N93" s="56"/>
      <c r="O93" s="28"/>
      <c r="P93" s="28"/>
      <c r="Q93" s="28"/>
      <c r="R93" s="28"/>
    </row>
    <row r="94" spans="1:18" ht="12.75">
      <c r="A94" s="28"/>
      <c r="B94" s="28"/>
      <c r="C94" s="28"/>
      <c r="D94" s="56"/>
      <c r="E94" s="28"/>
      <c r="F94" s="28"/>
      <c r="G94" s="28"/>
      <c r="H94" s="28"/>
      <c r="I94" s="56"/>
      <c r="J94" s="28"/>
      <c r="K94" s="28"/>
      <c r="L94" s="28"/>
      <c r="M94" s="28"/>
      <c r="N94" s="56"/>
      <c r="O94" s="28"/>
      <c r="P94" s="28"/>
      <c r="Q94" s="28"/>
      <c r="R94" s="28"/>
    </row>
    <row r="95" spans="1:18" ht="12.75">
      <c r="A95" s="28"/>
      <c r="B95" s="28"/>
      <c r="C95" s="28"/>
      <c r="D95" s="56"/>
      <c r="E95" s="28"/>
      <c r="F95" s="28"/>
      <c r="G95" s="28"/>
      <c r="H95" s="28"/>
      <c r="I95" s="56"/>
      <c r="J95" s="28"/>
      <c r="K95" s="28"/>
      <c r="L95" s="28"/>
      <c r="M95" s="28"/>
      <c r="N95" s="56"/>
      <c r="O95" s="28"/>
      <c r="P95" s="28"/>
      <c r="Q95" s="28"/>
      <c r="R95" s="28"/>
    </row>
    <row r="96" spans="1:18" ht="12.75">
      <c r="A96" s="28"/>
      <c r="B96" s="28"/>
      <c r="C96" s="28"/>
      <c r="D96" s="56"/>
      <c r="E96" s="28"/>
      <c r="F96" s="28"/>
      <c r="G96" s="28"/>
      <c r="H96" s="28"/>
      <c r="I96" s="56"/>
      <c r="J96" s="28"/>
      <c r="K96" s="28"/>
      <c r="L96" s="28"/>
      <c r="M96" s="28"/>
      <c r="N96" s="56"/>
      <c r="O96" s="28"/>
      <c r="P96" s="28"/>
      <c r="Q96" s="28"/>
      <c r="R96" s="28"/>
    </row>
    <row r="97" spans="1:18" ht="12.75">
      <c r="A97" s="28"/>
      <c r="B97" s="28"/>
      <c r="C97" s="28"/>
      <c r="D97" s="56"/>
      <c r="E97" s="28"/>
      <c r="F97" s="28"/>
      <c r="G97" s="28"/>
      <c r="H97" s="28"/>
      <c r="I97" s="56"/>
      <c r="J97" s="28"/>
      <c r="K97" s="28"/>
      <c r="L97" s="28"/>
      <c r="M97" s="28"/>
      <c r="N97" s="56"/>
      <c r="O97" s="28"/>
      <c r="P97" s="28"/>
      <c r="Q97" s="28"/>
      <c r="R97" s="28"/>
    </row>
    <row r="98" spans="1:18" ht="12.75">
      <c r="A98" s="28"/>
      <c r="B98" s="28"/>
      <c r="C98" s="28"/>
      <c r="D98" s="56"/>
      <c r="E98" s="28"/>
      <c r="F98" s="28"/>
      <c r="G98" s="28"/>
      <c r="H98" s="28"/>
      <c r="I98" s="56"/>
      <c r="J98" s="28"/>
      <c r="K98" s="28"/>
      <c r="L98" s="28"/>
      <c r="M98" s="28"/>
      <c r="N98" s="56"/>
      <c r="O98" s="28"/>
      <c r="P98" s="28"/>
      <c r="Q98" s="28"/>
      <c r="R98" s="28"/>
    </row>
    <row r="99" spans="1:18" ht="12.75">
      <c r="A99" s="28"/>
      <c r="B99" s="28"/>
      <c r="C99" s="28"/>
      <c r="D99" s="56"/>
      <c r="E99" s="28"/>
      <c r="F99" s="28"/>
      <c r="G99" s="28"/>
      <c r="H99" s="28"/>
      <c r="I99" s="56"/>
      <c r="J99" s="28"/>
      <c r="K99" s="28"/>
      <c r="L99" s="28"/>
      <c r="M99" s="28"/>
      <c r="N99" s="56"/>
      <c r="O99" s="28"/>
      <c r="P99" s="28"/>
      <c r="Q99" s="28"/>
      <c r="R99" s="28"/>
    </row>
    <row r="100" spans="1:18" ht="12.75">
      <c r="A100" s="28"/>
      <c r="B100" s="28"/>
      <c r="C100" s="28"/>
      <c r="D100" s="56"/>
      <c r="E100" s="28"/>
      <c r="F100" s="28"/>
      <c r="G100" s="28"/>
      <c r="H100" s="28"/>
      <c r="I100" s="56"/>
      <c r="J100" s="28"/>
      <c r="K100" s="28"/>
      <c r="L100" s="28"/>
      <c r="M100" s="28"/>
      <c r="N100" s="56"/>
      <c r="O100" s="28"/>
      <c r="P100" s="28"/>
      <c r="Q100" s="28"/>
      <c r="R100" s="28"/>
    </row>
    <row r="101" spans="1:18" ht="12.75">
      <c r="A101" s="28"/>
      <c r="B101" s="28"/>
      <c r="C101" s="28"/>
      <c r="D101" s="56"/>
      <c r="E101" s="28"/>
      <c r="F101" s="28"/>
      <c r="G101" s="28"/>
      <c r="H101" s="28"/>
      <c r="I101" s="56"/>
      <c r="J101" s="28"/>
      <c r="K101" s="28"/>
      <c r="L101" s="28"/>
      <c r="M101" s="28"/>
      <c r="N101" s="56"/>
      <c r="O101" s="28"/>
      <c r="P101" s="28"/>
      <c r="Q101" s="28"/>
      <c r="R101" s="28"/>
    </row>
    <row r="102" spans="1:18" ht="12.75">
      <c r="A102" s="28"/>
      <c r="B102" s="28"/>
      <c r="C102" s="28"/>
      <c r="D102" s="56"/>
      <c r="E102" s="28"/>
      <c r="F102" s="28"/>
      <c r="G102" s="28"/>
      <c r="H102" s="28"/>
      <c r="I102" s="56"/>
      <c r="J102" s="28"/>
      <c r="K102" s="28"/>
      <c r="L102" s="28"/>
      <c r="M102" s="28"/>
      <c r="N102" s="56"/>
      <c r="O102" s="28"/>
      <c r="P102" s="28"/>
      <c r="Q102" s="28"/>
      <c r="R102" s="28"/>
    </row>
    <row r="103" spans="1:18" ht="12.75">
      <c r="A103" s="28"/>
      <c r="B103" s="28"/>
      <c r="C103" s="28"/>
      <c r="D103" s="56"/>
      <c r="E103" s="28"/>
      <c r="F103" s="28"/>
      <c r="G103" s="28"/>
      <c r="H103" s="28"/>
      <c r="I103" s="56"/>
      <c r="J103" s="28"/>
      <c r="K103" s="28"/>
      <c r="L103" s="28"/>
      <c r="M103" s="28"/>
      <c r="N103" s="56"/>
      <c r="O103" s="28"/>
      <c r="P103" s="28"/>
      <c r="Q103" s="28"/>
      <c r="R103" s="28"/>
    </row>
    <row r="104" spans="1:18" ht="12.75">
      <c r="A104" s="28"/>
      <c r="B104" s="28"/>
      <c r="C104" s="28"/>
      <c r="D104" s="56"/>
      <c r="E104" s="28"/>
      <c r="F104" s="28"/>
      <c r="G104" s="28"/>
      <c r="H104" s="28"/>
      <c r="I104" s="56"/>
      <c r="J104" s="28"/>
      <c r="K104" s="28"/>
      <c r="L104" s="28"/>
      <c r="M104" s="28"/>
      <c r="N104" s="56"/>
      <c r="O104" s="28"/>
      <c r="P104" s="28"/>
      <c r="Q104" s="28"/>
      <c r="R104" s="28"/>
    </row>
    <row r="105" spans="1:18" ht="12.75">
      <c r="A105" s="28"/>
      <c r="B105" s="28"/>
      <c r="C105" s="28"/>
      <c r="D105" s="56"/>
      <c r="E105" s="28"/>
      <c r="F105" s="28"/>
      <c r="G105" s="28"/>
      <c r="H105" s="28"/>
      <c r="I105" s="56"/>
      <c r="J105" s="28"/>
      <c r="K105" s="28"/>
      <c r="L105" s="28"/>
      <c r="M105" s="28"/>
      <c r="N105" s="56"/>
      <c r="O105" s="28"/>
      <c r="P105" s="28"/>
      <c r="Q105" s="28"/>
      <c r="R105" s="28"/>
    </row>
    <row r="106" spans="1:18" ht="12.75">
      <c r="A106" s="28"/>
      <c r="B106" s="28"/>
      <c r="C106" s="28"/>
      <c r="D106" s="56"/>
      <c r="E106" s="28"/>
      <c r="F106" s="28"/>
      <c r="G106" s="28"/>
      <c r="H106" s="28"/>
      <c r="I106" s="56"/>
      <c r="J106" s="28"/>
      <c r="K106" s="28"/>
      <c r="L106" s="28"/>
      <c r="M106" s="28"/>
      <c r="N106" s="56"/>
      <c r="O106" s="28"/>
      <c r="P106" s="28"/>
      <c r="Q106" s="28"/>
      <c r="R106" s="28"/>
    </row>
    <row r="107" spans="1:18" ht="12.75">
      <c r="A107" s="28"/>
      <c r="B107" s="28"/>
      <c r="C107" s="28"/>
      <c r="D107" s="56"/>
      <c r="E107" s="28"/>
      <c r="F107" s="28"/>
      <c r="G107" s="28"/>
      <c r="H107" s="28"/>
      <c r="I107" s="56"/>
      <c r="J107" s="28"/>
      <c r="K107" s="28"/>
      <c r="L107" s="28"/>
      <c r="M107" s="28"/>
      <c r="N107" s="56"/>
      <c r="O107" s="28"/>
      <c r="P107" s="28"/>
      <c r="Q107" s="28"/>
      <c r="R107" s="28"/>
    </row>
    <row r="108" spans="1:18" ht="12.75">
      <c r="A108" s="28"/>
      <c r="B108" s="28"/>
      <c r="C108" s="28"/>
      <c r="D108" s="56"/>
      <c r="E108" s="28"/>
      <c r="F108" s="28"/>
      <c r="G108" s="28"/>
      <c r="H108" s="28"/>
      <c r="I108" s="56"/>
      <c r="J108" s="28"/>
      <c r="K108" s="28"/>
      <c r="L108" s="28"/>
      <c r="M108" s="28"/>
      <c r="N108" s="56"/>
      <c r="O108" s="28"/>
      <c r="P108" s="28"/>
      <c r="Q108" s="28"/>
      <c r="R108" s="28"/>
    </row>
    <row r="109" spans="1:18" ht="12.75">
      <c r="A109" s="28"/>
      <c r="B109" s="28"/>
      <c r="C109" s="28"/>
      <c r="D109" s="56"/>
      <c r="E109" s="28"/>
      <c r="F109" s="28"/>
      <c r="G109" s="28"/>
      <c r="H109" s="28"/>
      <c r="I109" s="56"/>
      <c r="J109" s="28"/>
      <c r="K109" s="28"/>
      <c r="L109" s="28"/>
      <c r="M109" s="28"/>
      <c r="N109" s="56"/>
      <c r="O109" s="28"/>
      <c r="P109" s="28"/>
      <c r="Q109" s="28"/>
      <c r="R109" s="28"/>
    </row>
    <row r="110" spans="1:18" ht="12.75">
      <c r="A110" s="28"/>
      <c r="B110" s="28"/>
      <c r="C110" s="28"/>
      <c r="D110" s="56"/>
      <c r="E110" s="28"/>
      <c r="F110" s="28"/>
      <c r="G110" s="28"/>
      <c r="H110" s="28"/>
      <c r="I110" s="56"/>
      <c r="J110" s="28"/>
      <c r="K110" s="28"/>
      <c r="L110" s="28"/>
      <c r="M110" s="28"/>
      <c r="N110" s="56"/>
      <c r="O110" s="28"/>
      <c r="P110" s="28"/>
      <c r="Q110" s="28"/>
      <c r="R110" s="28"/>
    </row>
    <row r="111" spans="1:18" ht="12.75">
      <c r="A111" s="28"/>
      <c r="B111" s="28"/>
      <c r="C111" s="28"/>
      <c r="D111" s="56"/>
      <c r="E111" s="28"/>
      <c r="F111" s="28"/>
      <c r="G111" s="28"/>
      <c r="H111" s="28"/>
      <c r="I111" s="56"/>
      <c r="J111" s="28"/>
      <c r="K111" s="28"/>
      <c r="L111" s="28"/>
      <c r="M111" s="28"/>
      <c r="N111" s="56"/>
      <c r="O111" s="28"/>
      <c r="P111" s="28"/>
      <c r="Q111" s="28"/>
      <c r="R111" s="28"/>
    </row>
    <row r="112" spans="1:18" ht="12.75">
      <c r="A112" s="28"/>
      <c r="B112" s="28"/>
      <c r="C112" s="28"/>
      <c r="D112" s="56"/>
      <c r="E112" s="28"/>
      <c r="F112" s="28"/>
      <c r="G112" s="28"/>
      <c r="H112" s="28"/>
      <c r="I112" s="56"/>
      <c r="J112" s="28"/>
      <c r="K112" s="28"/>
      <c r="L112" s="28"/>
      <c r="M112" s="28"/>
      <c r="N112" s="56"/>
      <c r="O112" s="28"/>
      <c r="P112" s="28"/>
      <c r="Q112" s="28"/>
      <c r="R112" s="28"/>
    </row>
    <row r="113" spans="1:18" ht="12.75">
      <c r="A113" s="28"/>
      <c r="B113" s="28"/>
      <c r="C113" s="28"/>
      <c r="D113" s="56"/>
      <c r="E113" s="28"/>
      <c r="F113" s="28"/>
      <c r="G113" s="28"/>
      <c r="H113" s="28"/>
      <c r="I113" s="56"/>
      <c r="J113" s="28"/>
      <c r="K113" s="28"/>
      <c r="L113" s="28"/>
      <c r="M113" s="28"/>
      <c r="N113" s="56"/>
      <c r="O113" s="28"/>
      <c r="P113" s="28"/>
      <c r="Q113" s="28"/>
      <c r="R113" s="28"/>
    </row>
    <row r="114" spans="1:18" ht="12.75">
      <c r="A114" s="28"/>
      <c r="B114" s="28"/>
      <c r="C114" s="28"/>
      <c r="D114" s="56"/>
      <c r="E114" s="28"/>
      <c r="F114" s="28"/>
      <c r="G114" s="28"/>
      <c r="H114" s="28"/>
      <c r="I114" s="56"/>
      <c r="J114" s="28"/>
      <c r="K114" s="28"/>
      <c r="L114" s="28"/>
      <c r="M114" s="28"/>
      <c r="N114" s="56"/>
      <c r="O114" s="28"/>
      <c r="P114" s="28"/>
      <c r="Q114" s="28"/>
      <c r="R114" s="28"/>
    </row>
    <row r="115" spans="1:18" ht="12.75">
      <c r="A115" s="28"/>
      <c r="B115" s="28"/>
      <c r="C115" s="28"/>
      <c r="D115" s="56"/>
      <c r="E115" s="28"/>
      <c r="F115" s="28"/>
      <c r="G115" s="28"/>
      <c r="H115" s="28"/>
      <c r="I115" s="56"/>
      <c r="J115" s="28"/>
      <c r="K115" s="28"/>
      <c r="L115" s="28"/>
      <c r="M115" s="28"/>
      <c r="N115" s="56"/>
      <c r="O115" s="28"/>
      <c r="P115" s="28"/>
      <c r="Q115" s="28"/>
      <c r="R115" s="28"/>
    </row>
    <row r="116" spans="1:18" ht="12.75">
      <c r="A116" s="28"/>
      <c r="B116" s="28"/>
      <c r="C116" s="28"/>
      <c r="D116" s="56"/>
      <c r="E116" s="28"/>
      <c r="F116" s="28"/>
      <c r="G116" s="28"/>
      <c r="H116" s="28"/>
      <c r="I116" s="56"/>
      <c r="J116" s="28"/>
      <c r="K116" s="28"/>
      <c r="L116" s="28"/>
      <c r="M116" s="28"/>
      <c r="N116" s="56"/>
      <c r="O116" s="28"/>
      <c r="P116" s="28"/>
      <c r="Q116" s="28"/>
      <c r="R116" s="28"/>
    </row>
    <row r="117" spans="1:18" ht="12.75">
      <c r="A117" s="28"/>
      <c r="B117" s="28"/>
      <c r="C117" s="28"/>
      <c r="D117" s="56"/>
      <c r="E117" s="28"/>
      <c r="F117" s="28"/>
      <c r="G117" s="28"/>
      <c r="H117" s="28"/>
      <c r="I117" s="56"/>
      <c r="J117" s="28"/>
      <c r="K117" s="28"/>
      <c r="L117" s="28"/>
      <c r="M117" s="28"/>
      <c r="N117" s="56"/>
      <c r="O117" s="28"/>
      <c r="P117" s="28"/>
      <c r="Q117" s="28"/>
      <c r="R117" s="28"/>
    </row>
    <row r="118" spans="1:18" ht="12.75">
      <c r="A118" s="28"/>
      <c r="B118" s="28"/>
      <c r="C118" s="28"/>
      <c r="D118" s="56"/>
      <c r="E118" s="28"/>
      <c r="F118" s="28"/>
      <c r="G118" s="28"/>
      <c r="H118" s="28"/>
      <c r="I118" s="56"/>
      <c r="J118" s="28"/>
      <c r="K118" s="28"/>
      <c r="L118" s="28"/>
      <c r="M118" s="28"/>
      <c r="N118" s="56"/>
      <c r="O118" s="28"/>
      <c r="P118" s="28"/>
      <c r="Q118" s="28"/>
      <c r="R118" s="28"/>
    </row>
    <row r="119" spans="1:18" ht="12.75">
      <c r="A119" s="28"/>
      <c r="B119" s="28"/>
      <c r="C119" s="28"/>
      <c r="D119" s="56"/>
      <c r="E119" s="28"/>
      <c r="F119" s="28"/>
      <c r="G119" s="28"/>
      <c r="H119" s="28"/>
      <c r="I119" s="56"/>
      <c r="J119" s="28"/>
      <c r="K119" s="28"/>
      <c r="L119" s="28"/>
      <c r="M119" s="28"/>
      <c r="N119" s="56"/>
      <c r="O119" s="28"/>
      <c r="P119" s="28"/>
      <c r="Q119" s="28"/>
      <c r="R119" s="28"/>
    </row>
    <row r="120" spans="1:18" ht="12.75">
      <c r="A120" s="28"/>
      <c r="B120" s="28"/>
      <c r="C120" s="28"/>
      <c r="D120" s="56"/>
      <c r="E120" s="28"/>
      <c r="F120" s="28"/>
      <c r="G120" s="28"/>
      <c r="H120" s="28"/>
      <c r="I120" s="56"/>
      <c r="J120" s="28"/>
      <c r="K120" s="28"/>
      <c r="L120" s="28"/>
      <c r="M120" s="28"/>
      <c r="N120" s="56"/>
      <c r="O120" s="28"/>
      <c r="P120" s="28"/>
      <c r="Q120" s="28"/>
      <c r="R120" s="28"/>
    </row>
    <row r="121" spans="1:18" ht="12.75">
      <c r="A121" s="28"/>
      <c r="B121" s="28"/>
      <c r="C121" s="28"/>
      <c r="D121" s="56"/>
      <c r="E121" s="28"/>
      <c r="F121" s="28"/>
      <c r="G121" s="28"/>
      <c r="H121" s="28"/>
      <c r="I121" s="56"/>
      <c r="J121" s="28"/>
      <c r="K121" s="28"/>
      <c r="L121" s="28"/>
      <c r="M121" s="28"/>
      <c r="N121" s="56"/>
      <c r="O121" s="28"/>
      <c r="P121" s="28"/>
      <c r="Q121" s="28"/>
      <c r="R121" s="28"/>
    </row>
    <row r="122" spans="1:18" ht="12.75">
      <c r="A122" s="28"/>
      <c r="B122" s="28"/>
      <c r="C122" s="28"/>
      <c r="D122" s="56"/>
      <c r="E122" s="28"/>
      <c r="F122" s="28"/>
      <c r="G122" s="28"/>
      <c r="H122" s="28"/>
      <c r="I122" s="56"/>
      <c r="J122" s="28"/>
      <c r="K122" s="28"/>
      <c r="L122" s="28"/>
      <c r="M122" s="28"/>
      <c r="N122" s="56"/>
      <c r="O122" s="28"/>
      <c r="P122" s="28"/>
      <c r="Q122" s="28"/>
      <c r="R122" s="28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Bruce Springsteen</cp:lastModifiedBy>
  <cp:lastPrinted>2004-02-24T18:08:15Z</cp:lastPrinted>
  <dcterms:created xsi:type="dcterms:W3CDTF">2000-01-10T00:44:42Z</dcterms:created>
  <dcterms:modified xsi:type="dcterms:W3CDTF">2004-02-24T18:08:18Z</dcterms:modified>
  <cp:category/>
  <cp:version/>
  <cp:contentType/>
  <cp:contentStatus/>
</cp:coreProperties>
</file>