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2" sheetId="7" r:id="rId7"/>
  </sheets>
  <definedNames/>
  <calcPr fullCalcOnLoad="1"/>
</workbook>
</file>

<file path=xl/sharedStrings.xml><?xml version="1.0" encoding="utf-8"?>
<sst xmlns="http://schemas.openxmlformats.org/spreadsheetml/2006/main" count="978" uniqueCount="247">
  <si>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</si>
  <si>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</si>
  <si>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</si>
  <si>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</si>
  <si>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</si>
  <si>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</si>
  <si>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</si>
  <si>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</si>
  <si>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</si>
  <si>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</si>
  <si>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</si>
  <si>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</si>
  <si>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</si>
  <si>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</si>
  <si>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</si>
  <si>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</si>
  <si>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</si>
  <si>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</si>
  <si>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</si>
  <si>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</si>
  <si>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</si>
  <si>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</si>
  <si>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</si>
  <si>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</si>
  <si>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</si>
  <si>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</si>
  <si>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</si>
  <si>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</si>
  <si>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</si>
  <si>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</si>
  <si>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</si>
  <si>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</si>
  <si>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</si>
  <si>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</si>
  <si>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</si>
  <si>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</si>
  <si>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</si>
  <si>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</si>
  <si>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</si>
  <si>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</si>
  <si>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</si>
  <si>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</si>
  <si>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</si>
  <si>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</si>
  <si>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</si>
  <si>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</si>
  <si>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</si>
  <si>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</si>
  <si>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</si>
  <si>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</si>
  <si>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</si>
  <si>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</si>
  <si>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</si>
  <si>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g/hr</t>
  </si>
  <si>
    <t>Heating Value</t>
  </si>
  <si>
    <t>Btu/lb</t>
  </si>
  <si>
    <t>Ash</t>
  </si>
  <si>
    <t>Chlorine</t>
  </si>
  <si>
    <t>Viscosity</t>
  </si>
  <si>
    <t>cps</t>
  </si>
  <si>
    <t>Freeport</t>
  </si>
  <si>
    <t>TX</t>
  </si>
  <si>
    <t>Dow Chemical Company</t>
  </si>
  <si>
    <t>METCO Environmental</t>
  </si>
  <si>
    <t>DRE</t>
  </si>
  <si>
    <t>Chlorobenzene</t>
  </si>
  <si>
    <t>lb/hr</t>
  </si>
  <si>
    <t>Density</t>
  </si>
  <si>
    <t>lb/gal</t>
  </si>
  <si>
    <t>MMBtu/hr</t>
  </si>
  <si>
    <t>Detected in sample volume (pg)</t>
  </si>
  <si>
    <t>PCDD/PCDF (pg in sample)</t>
  </si>
  <si>
    <t>Prod. Rate</t>
  </si>
  <si>
    <t>Run 1</t>
  </si>
  <si>
    <t>Run 2</t>
  </si>
  <si>
    <t>Run 3</t>
  </si>
  <si>
    <t>None</t>
  </si>
  <si>
    <t>PCDD/F, metals</t>
  </si>
  <si>
    <t>Unit FTB-603</t>
  </si>
  <si>
    <t>CO, DRE of POHC (chlorobenzene)</t>
  </si>
  <si>
    <t>Mlb/hr</t>
  </si>
  <si>
    <t>PDC Heavies</t>
  </si>
  <si>
    <t>Vapor</t>
  </si>
  <si>
    <r>
      <t>o</t>
    </r>
    <r>
      <rPr>
        <sz val="10"/>
        <rFont val="Arial"/>
        <family val="2"/>
      </rPr>
      <t>F</t>
    </r>
  </si>
  <si>
    <t>2018C2</t>
  </si>
  <si>
    <t>April 2-3, 1998</t>
  </si>
  <si>
    <t>Risk burn, normal operating condition, April 2-3, 1998</t>
  </si>
  <si>
    <t>Ejector Venturi Pressure</t>
  </si>
  <si>
    <t>psig</t>
  </si>
  <si>
    <t>pH</t>
  </si>
  <si>
    <t>gpm</t>
  </si>
  <si>
    <t>gal/Macf</t>
  </si>
  <si>
    <t>Spike</t>
  </si>
  <si>
    <t>Liquid wastes (PDC Heavies)</t>
  </si>
  <si>
    <t>Natural gas</t>
  </si>
  <si>
    <t>&gt;</t>
  </si>
  <si>
    <t>Stack Gas Emissions</t>
  </si>
  <si>
    <t>HW</t>
  </si>
  <si>
    <t>PM</t>
  </si>
  <si>
    <t>HCl</t>
  </si>
  <si>
    <t>Cl2</t>
  </si>
  <si>
    <t>SVM</t>
  </si>
  <si>
    <t>LVM</t>
  </si>
  <si>
    <t>CO</t>
  </si>
  <si>
    <t>gr/dscf</t>
  </si>
  <si>
    <t>µg/dscm</t>
  </si>
  <si>
    <t>mg/dscm</t>
  </si>
  <si>
    <t>ug/dscm</t>
  </si>
  <si>
    <t>Estimated Firing Rate</t>
  </si>
  <si>
    <t>Stack Gas Flowrate</t>
  </si>
  <si>
    <t>Oxygen</t>
  </si>
  <si>
    <t>O2 (%)</t>
  </si>
  <si>
    <t>TEQ Cond Avg</t>
  </si>
  <si>
    <t>Total Cond Avg</t>
  </si>
  <si>
    <t>2018C1</t>
  </si>
  <si>
    <t>Liq</t>
  </si>
  <si>
    <t>FTB-603 Trial Burn Report and Risk Burn Report, June 30, 1998</t>
  </si>
  <si>
    <t>Risk burn, normal operating conditions</t>
  </si>
  <si>
    <t>Natural Gas</t>
  </si>
  <si>
    <t>1/2 ND</t>
  </si>
  <si>
    <t>Dow Chemical Company, Freeport TX</t>
  </si>
  <si>
    <t>PCDD/PCDF</t>
  </si>
  <si>
    <t>Trial burn, min comb temp, max stack gas flow rate</t>
  </si>
  <si>
    <t xml:space="preserve">    Gas Velocity (ft/sec)</t>
  </si>
  <si>
    <t xml:space="preserve">    Gas Temperature (°F)</t>
  </si>
  <si>
    <t>TXD008092793</t>
  </si>
  <si>
    <t>Combustor Characteristics</t>
  </si>
  <si>
    <t>POHC DRE</t>
  </si>
  <si>
    <t>Process Information</t>
  </si>
  <si>
    <t xml:space="preserve">    Testing Dates</t>
  </si>
  <si>
    <t>Supplemental Fuel</t>
  </si>
  <si>
    <t>Feedstreams</t>
  </si>
  <si>
    <t>Hazardous Wastes</t>
  </si>
  <si>
    <t>7% O2</t>
  </si>
  <si>
    <t>Capacity (MMBtu/hr)</t>
  </si>
  <si>
    <r>
      <t>Firetube boiler made by Johnston Boiler Company, horizontal direct fired comb chamber by John Zink Company, 50.2 MMBtu/hr, operated @ 1700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</si>
  <si>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Tier l for all chlorine and all metals except Cr+6 (Tier III)</t>
  </si>
  <si>
    <t>Phase II ID No.</t>
  </si>
  <si>
    <t>Source Description</t>
  </si>
  <si>
    <t>Feedrate MTEC Calculations</t>
  </si>
  <si>
    <t>Comb Temp</t>
  </si>
  <si>
    <t>Prod Rate</t>
  </si>
  <si>
    <t>T-609 Scrubber</t>
  </si>
  <si>
    <t xml:space="preserve">    Effluent pH</t>
  </si>
  <si>
    <t xml:space="preserve">    Blowdown Flow</t>
  </si>
  <si>
    <t xml:space="preserve">    L/G</t>
  </si>
  <si>
    <t>Focus Environmental</t>
  </si>
  <si>
    <t>Soot Blowing</t>
  </si>
  <si>
    <t>Haz Waste Description</t>
  </si>
  <si>
    <t>µg/dscf</t>
  </si>
  <si>
    <t xml:space="preserve">   Temperature</t>
  </si>
  <si>
    <t xml:space="preserve">   Stack Gas Flowrate</t>
  </si>
  <si>
    <t>Antimony</t>
  </si>
  <si>
    <t>Arsenic</t>
  </si>
  <si>
    <t>Barium</t>
  </si>
  <si>
    <t>Beryllium</t>
  </si>
  <si>
    <t>Cadmium</t>
  </si>
  <si>
    <t>Lead</t>
  </si>
  <si>
    <t>Mercury</t>
  </si>
  <si>
    <t>Nickel</t>
  </si>
  <si>
    <t>Selenium</t>
  </si>
  <si>
    <t>Silver</t>
  </si>
  <si>
    <t>Thallium</t>
  </si>
  <si>
    <t>Comments</t>
  </si>
  <si>
    <t>Trial burn</t>
  </si>
  <si>
    <t>Risk Burn</t>
  </si>
  <si>
    <t>PCDD/F</t>
  </si>
  <si>
    <t>POHC Feedrate</t>
  </si>
  <si>
    <t>Emission Rate</t>
  </si>
  <si>
    <t xml:space="preserve">   O2</t>
  </si>
  <si>
    <t xml:space="preserve">   Moisture</t>
  </si>
  <si>
    <t>Cobalt</t>
  </si>
  <si>
    <t>Copper</t>
  </si>
  <si>
    <t>Manganese</t>
  </si>
  <si>
    <t>Molybdenum</t>
  </si>
  <si>
    <t>Vanadium</t>
  </si>
  <si>
    <t>CO (RA)</t>
  </si>
  <si>
    <t>CO (MHRA)</t>
  </si>
  <si>
    <t>Chromium</t>
  </si>
  <si>
    <t>Sampling Train</t>
  </si>
  <si>
    <t>Zinc</t>
  </si>
  <si>
    <t>Risk burn</t>
  </si>
  <si>
    <t>*</t>
  </si>
  <si>
    <t>Thermal Feedrate</t>
  </si>
  <si>
    <t>Feed Rate</t>
  </si>
  <si>
    <t>HWC Burn Status (Date if Terminated)</t>
  </si>
  <si>
    <t>WHB/VS/Q/HCLABS/VS/CLWS</t>
  </si>
  <si>
    <t>(Venturi scrubber, quench, HCl absorber, venturi scrubber, chlorine scrubber)  Chlorine scrubber uses inorganic reducing agent to capture chlorine</t>
  </si>
  <si>
    <t xml:space="preserve">    Cond Dates</t>
  </si>
  <si>
    <t>HCl Production Furnace</t>
  </si>
  <si>
    <t>Cond Description</t>
  </si>
  <si>
    <t>E1</t>
  </si>
  <si>
    <t>E2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</si>
  <si>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</si>
  <si>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</si>
  <si>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</si>
  <si>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</si>
  <si>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</si>
  <si>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</si>
  <si>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</si>
  <si>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</si>
  <si>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</si>
  <si>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</si>
  <si>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R1</t>
  </si>
  <si>
    <t>R2</t>
  </si>
  <si>
    <t>R3</t>
  </si>
  <si>
    <t>Feedstream Number</t>
  </si>
  <si>
    <t>Feed Class</t>
  </si>
  <si>
    <t>F1</t>
  </si>
  <si>
    <t>F2</t>
  </si>
  <si>
    <t>F3</t>
  </si>
  <si>
    <t>F4</t>
  </si>
  <si>
    <t>F5</t>
  </si>
  <si>
    <t>Liq HW</t>
  </si>
  <si>
    <t>Misc. Fuel</t>
  </si>
  <si>
    <t>NG</t>
  </si>
  <si>
    <t>Feed Class 2</t>
  </si>
  <si>
    <t>MF</t>
  </si>
  <si>
    <t>2018C3</t>
  </si>
  <si>
    <t>FTB-603 Certificate of Compliance Burn, January 1997</t>
  </si>
  <si>
    <t>Jan 14-16, 1997</t>
  </si>
  <si>
    <t>COC burn, max waste feed and production rate, max comb temp, min APCS</t>
  </si>
  <si>
    <t>PM, HCl/Cl2, Cr+6</t>
  </si>
  <si>
    <t>2018C4</t>
  </si>
  <si>
    <t>COC burn, min comb temp</t>
  </si>
  <si>
    <t>CoC</t>
  </si>
  <si>
    <t>Mlb/day</t>
  </si>
  <si>
    <t>Prod Rate Steam</t>
  </si>
  <si>
    <t>Total Cl</t>
  </si>
  <si>
    <t>Pumpable liq</t>
  </si>
  <si>
    <t>Fuel gas</t>
  </si>
  <si>
    <t>Taken from other conditions</t>
  </si>
  <si>
    <t>sampling train not in CoC; used avg from other conditions</t>
  </si>
  <si>
    <t>Full ND</t>
  </si>
  <si>
    <t>Cr only</t>
  </si>
  <si>
    <t>df c2</t>
  </si>
  <si>
    <t>WHB, HEWS, LEWS, WQ</t>
  </si>
  <si>
    <t>Metals</t>
  </si>
  <si>
    <t>N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</si>
  <si>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</si>
  <si>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</si>
  <si>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</si>
  <si>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</si>
  <si>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</si>
  <si>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</si>
  <si>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</si>
  <si>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HCDF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</si>
</sst>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E+00"/>
    <numFmt numFmtId="176" formatCode="0.000E+00"/>
    <numFmt numFmtId="177" formatCode="0.0000000"/>
    <numFmt numFmtId="178" formatCode="0.00000000"/>
    <numFmt numFmtId="179" formatCode="dd\-mmm\-yy"/>
  </numFmts>
  <fonts count="7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1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wrapText="1" shrinkToFit="1"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C9" sqref="C9"/>
    </sheetView>
  </sheetViews>
  <sheetFormatPr defaultColWidth="9.140625" defaultRowHeight="12.75"/>
  <sheetData>
    <row r="1" ht="12.75">
      <c r="A1" t="s">
        <v>198</v>
      </c>
    </row>
    <row r="2" ht="12.75">
      <c r="A2" t="s">
        <v>199</v>
      </c>
    </row>
    <row r="3" ht="12.75">
      <c r="A3" t="s">
        <v>200</v>
      </c>
    </row>
    <row r="4" ht="12.75">
      <c r="A4" t="s">
        <v>201</v>
      </c>
    </row>
    <row r="5" ht="12.75">
      <c r="A5" t="s">
        <v>202</v>
      </c>
    </row>
    <row r="6" ht="12.75">
      <c r="A6" t="s">
        <v>235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3"/>
  <sheetViews>
    <sheetView workbookViewId="0" topLeftCell="B1">
      <selection activeCell="A3" sqref="A3"/>
    </sheetView>
  </sheetViews>
  <sheetFormatPr defaultColWidth="9.140625" defaultRowHeight="12.75"/>
  <cols>
    <col min="1" max="1" width="9.140625" style="1" hidden="1" customWidth="1"/>
    <col min="2" max="2" width="25.57421875" style="1" customWidth="1"/>
    <col min="3" max="3" width="57.7109375" style="1" customWidth="1"/>
    <col min="4" max="13" width="8.8515625" style="0" customWidth="1"/>
    <col min="14" max="16384" width="8.8515625" style="1" customWidth="1"/>
  </cols>
  <sheetData>
    <row r="1" spans="2:17" ht="12.75">
      <c r="B1" s="16" t="s">
        <v>138</v>
      </c>
      <c r="C1" s="29"/>
      <c r="N1" s="29"/>
      <c r="O1" s="29"/>
      <c r="P1" s="29"/>
      <c r="Q1" s="29"/>
    </row>
    <row r="2" spans="2:17" ht="12.75">
      <c r="B2" s="29"/>
      <c r="C2" s="29"/>
      <c r="N2" s="29"/>
      <c r="O2" s="29"/>
      <c r="P2" s="29"/>
      <c r="Q2" s="29"/>
    </row>
    <row r="3" spans="2:17" ht="12.75">
      <c r="B3" s="29" t="s">
        <v>137</v>
      </c>
      <c r="C3" s="72">
        <v>2018</v>
      </c>
      <c r="N3" s="29"/>
      <c r="O3" s="29"/>
      <c r="P3" s="29"/>
      <c r="Q3" s="29"/>
    </row>
    <row r="4" spans="2:17" ht="12.75">
      <c r="B4" s="29" t="s">
        <v>0</v>
      </c>
      <c r="C4" s="29" t="s">
        <v>125</v>
      </c>
      <c r="N4" s="29"/>
      <c r="O4" s="29"/>
      <c r="P4" s="29"/>
      <c r="Q4" s="29"/>
    </row>
    <row r="5" spans="2:17" ht="12.75">
      <c r="B5" s="29" t="s">
        <v>1</v>
      </c>
      <c r="C5" s="29" t="s">
        <v>62</v>
      </c>
      <c r="N5" s="29"/>
      <c r="O5" s="29"/>
      <c r="P5" s="29"/>
      <c r="Q5" s="29"/>
    </row>
    <row r="6" spans="2:17" ht="12.75">
      <c r="B6" s="29" t="s">
        <v>2</v>
      </c>
      <c r="C6" s="29"/>
      <c r="N6" s="29"/>
      <c r="O6" s="29"/>
      <c r="P6" s="29"/>
      <c r="Q6" s="29"/>
    </row>
    <row r="7" spans="2:17" ht="12.75">
      <c r="B7" s="29" t="s">
        <v>3</v>
      </c>
      <c r="C7" s="29" t="s">
        <v>60</v>
      </c>
      <c r="N7" s="29"/>
      <c r="O7" s="29"/>
      <c r="P7" s="29"/>
      <c r="Q7" s="29"/>
    </row>
    <row r="8" spans="2:17" ht="12.75">
      <c r="B8" s="29" t="s">
        <v>4</v>
      </c>
      <c r="C8" s="29" t="s">
        <v>61</v>
      </c>
      <c r="N8" s="29"/>
      <c r="O8" s="29"/>
      <c r="P8" s="29"/>
      <c r="Q8" s="29"/>
    </row>
    <row r="9" spans="2:17" ht="12.75">
      <c r="B9" s="29" t="s">
        <v>5</v>
      </c>
      <c r="C9" s="29" t="s">
        <v>78</v>
      </c>
      <c r="N9" s="29"/>
      <c r="O9" s="29"/>
      <c r="P9" s="29"/>
      <c r="Q9" s="29"/>
    </row>
    <row r="10" spans="2:17" ht="12.75">
      <c r="B10" s="29" t="s">
        <v>6</v>
      </c>
      <c r="C10" s="29" t="s">
        <v>76</v>
      </c>
      <c r="N10" s="29"/>
      <c r="O10" s="29"/>
      <c r="P10" s="29"/>
      <c r="Q10" s="29"/>
    </row>
    <row r="11" spans="2:17" ht="12.75">
      <c r="B11" s="29" t="s">
        <v>193</v>
      </c>
      <c r="C11" s="72">
        <v>0</v>
      </c>
      <c r="N11" s="29"/>
      <c r="O11" s="29"/>
      <c r="P11" s="29"/>
      <c r="Q11" s="29"/>
    </row>
    <row r="12" spans="2:17" ht="12.75">
      <c r="B12" s="29" t="s">
        <v>194</v>
      </c>
      <c r="C12" s="29" t="s">
        <v>189</v>
      </c>
      <c r="N12" s="29"/>
      <c r="O12" s="29"/>
      <c r="P12" s="29"/>
      <c r="Q12" s="29"/>
    </row>
    <row r="13" spans="2:17" ht="12.75">
      <c r="B13" s="29" t="s">
        <v>195</v>
      </c>
      <c r="C13" s="29"/>
      <c r="N13" s="29"/>
      <c r="O13" s="29"/>
      <c r="P13" s="29"/>
      <c r="Q13" s="29"/>
    </row>
    <row r="14" spans="2:17" s="78" customFormat="1" ht="39.75">
      <c r="B14" s="77" t="s">
        <v>126</v>
      </c>
      <c r="C14" s="77" t="s">
        <v>135</v>
      </c>
      <c r="D14"/>
      <c r="E14"/>
      <c r="F14"/>
      <c r="G14"/>
      <c r="H14"/>
      <c r="I14"/>
      <c r="J14"/>
      <c r="K14"/>
      <c r="L14"/>
      <c r="M14"/>
      <c r="N14" s="77"/>
      <c r="O14" s="77"/>
      <c r="P14" s="77"/>
      <c r="Q14" s="77"/>
    </row>
    <row r="15" spans="2:17" s="78" customFormat="1" ht="12.75">
      <c r="B15" s="77" t="s">
        <v>134</v>
      </c>
      <c r="C15" s="79">
        <v>50.2</v>
      </c>
      <c r="D15"/>
      <c r="E15"/>
      <c r="F15"/>
      <c r="G15"/>
      <c r="H15"/>
      <c r="I15"/>
      <c r="J15"/>
      <c r="K15"/>
      <c r="L15"/>
      <c r="M15"/>
      <c r="N15" s="77"/>
      <c r="O15" s="77"/>
      <c r="P15" s="77"/>
      <c r="Q15" s="77"/>
    </row>
    <row r="16" spans="2:17" ht="12.75">
      <c r="B16" s="29" t="s">
        <v>147</v>
      </c>
      <c r="C16" s="29" t="s">
        <v>76</v>
      </c>
      <c r="N16" s="29"/>
      <c r="O16" s="29"/>
      <c r="P16" s="29"/>
      <c r="Q16" s="29"/>
    </row>
    <row r="17" spans="2:17" s="78" customFormat="1" ht="12.75">
      <c r="B17" s="29" t="s">
        <v>196</v>
      </c>
      <c r="C17" s="81" t="s">
        <v>186</v>
      </c>
      <c r="D17"/>
      <c r="E17"/>
      <c r="F17"/>
      <c r="G17"/>
      <c r="H17"/>
      <c r="I17"/>
      <c r="J17"/>
      <c r="K17"/>
      <c r="L17"/>
      <c r="M17"/>
      <c r="N17" s="77"/>
      <c r="O17" s="77"/>
      <c r="P17" s="77"/>
      <c r="Q17" s="77"/>
    </row>
    <row r="18" spans="2:17" s="78" customFormat="1" ht="12.75">
      <c r="B18" s="29" t="s">
        <v>197</v>
      </c>
      <c r="C18" s="81" t="s">
        <v>236</v>
      </c>
      <c r="D18"/>
      <c r="E18"/>
      <c r="F18"/>
      <c r="G18"/>
      <c r="H18"/>
      <c r="I18"/>
      <c r="J18"/>
      <c r="K18"/>
      <c r="L18"/>
      <c r="M18"/>
      <c r="N18" s="77"/>
      <c r="O18" s="77"/>
      <c r="P18" s="77"/>
      <c r="Q18" s="77"/>
    </row>
    <row r="19" spans="2:17" ht="38.25">
      <c r="B19" s="77" t="s">
        <v>7</v>
      </c>
      <c r="C19" s="77" t="s">
        <v>187</v>
      </c>
      <c r="N19" s="29"/>
      <c r="O19" s="29"/>
      <c r="P19" s="29"/>
      <c r="Q19" s="29"/>
    </row>
    <row r="20" spans="2:17" ht="12.75">
      <c r="B20" s="29" t="s">
        <v>132</v>
      </c>
      <c r="C20" s="29" t="s">
        <v>115</v>
      </c>
      <c r="N20" s="29"/>
      <c r="O20" s="29"/>
      <c r="P20" s="29"/>
      <c r="Q20" s="29"/>
    </row>
    <row r="21" spans="2:17" ht="12.75">
      <c r="B21" s="29" t="s">
        <v>148</v>
      </c>
      <c r="C21" s="29" t="s">
        <v>93</v>
      </c>
      <c r="N21" s="29"/>
      <c r="O21" s="29"/>
      <c r="P21" s="29"/>
      <c r="Q21" s="29"/>
    </row>
    <row r="22" spans="2:17" ht="12.75">
      <c r="B22" s="29" t="s">
        <v>130</v>
      </c>
      <c r="C22" s="29" t="s">
        <v>94</v>
      </c>
      <c r="N22" s="29"/>
      <c r="O22" s="29"/>
      <c r="P22" s="29"/>
      <c r="Q22" s="29"/>
    </row>
    <row r="23" spans="2:17" ht="12.75">
      <c r="B23" s="29"/>
      <c r="C23" s="29"/>
      <c r="N23" s="29"/>
      <c r="O23" s="29"/>
      <c r="P23" s="29"/>
      <c r="Q23" s="29"/>
    </row>
    <row r="24" spans="2:17" ht="12.75">
      <c r="B24" s="29" t="s">
        <v>8</v>
      </c>
      <c r="C24" s="72"/>
      <c r="N24" s="29"/>
      <c r="O24" s="29"/>
      <c r="P24" s="29"/>
      <c r="Q24" s="29"/>
    </row>
    <row r="25" spans="2:17" ht="12.75">
      <c r="B25" s="29" t="s">
        <v>9</v>
      </c>
      <c r="C25" s="72">
        <v>2.5</v>
      </c>
      <c r="N25" s="29"/>
      <c r="O25" s="29"/>
      <c r="P25" s="29"/>
      <c r="Q25" s="29"/>
    </row>
    <row r="26" spans="2:17" ht="12.75">
      <c r="B26" s="29" t="s">
        <v>10</v>
      </c>
      <c r="C26" s="72">
        <v>85</v>
      </c>
      <c r="N26" s="29"/>
      <c r="O26" s="29"/>
      <c r="P26" s="29"/>
      <c r="Q26" s="29"/>
    </row>
    <row r="27" spans="2:17" ht="12.75">
      <c r="B27" s="29" t="s">
        <v>123</v>
      </c>
      <c r="C27" s="73">
        <v>35</v>
      </c>
      <c r="N27" s="29"/>
      <c r="O27" s="29"/>
      <c r="P27" s="29"/>
      <c r="Q27" s="29"/>
    </row>
    <row r="28" spans="2:17" ht="12.75">
      <c r="B28" s="29" t="s">
        <v>124</v>
      </c>
      <c r="C28" s="72">
        <v>129.3</v>
      </c>
      <c r="N28" s="29"/>
      <c r="O28" s="29"/>
      <c r="P28" s="29"/>
      <c r="Q28" s="29"/>
    </row>
    <row r="29" spans="2:17" ht="12.75">
      <c r="B29" s="29"/>
      <c r="C29" s="29"/>
      <c r="N29" s="29"/>
      <c r="O29" s="29"/>
      <c r="P29" s="29"/>
      <c r="Q29" s="29"/>
    </row>
    <row r="30" spans="2:17" ht="12.75">
      <c r="B30" s="29" t="s">
        <v>11</v>
      </c>
      <c r="C30" s="29" t="s">
        <v>136</v>
      </c>
      <c r="N30" s="29"/>
      <c r="O30" s="29"/>
      <c r="P30" s="29"/>
      <c r="Q30" s="29"/>
    </row>
    <row r="31" spans="2:17" s="86" customFormat="1" ht="25.5">
      <c r="B31" s="84" t="s">
        <v>185</v>
      </c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4"/>
      <c r="O31" s="84"/>
      <c r="P31" s="84"/>
      <c r="Q31" s="84"/>
    </row>
    <row r="32" spans="2:17" ht="12.75">
      <c r="B32" s="29"/>
      <c r="C32" s="29"/>
      <c r="N32" s="29"/>
      <c r="O32" s="29"/>
      <c r="P32" s="29"/>
      <c r="Q32" s="29"/>
    </row>
    <row r="33" spans="2:17" ht="12.75">
      <c r="B33" s="29"/>
      <c r="C33" s="29"/>
      <c r="N33" s="29"/>
      <c r="O33" s="29"/>
      <c r="P33" s="29"/>
      <c r="Q33" s="29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A3" sqref="A3"/>
    </sheetView>
  </sheetViews>
  <sheetFormatPr defaultColWidth="9.140625" defaultRowHeight="12.75"/>
  <cols>
    <col min="1" max="1" width="9.140625" style="29" hidden="1" customWidth="1"/>
    <col min="2" max="2" width="20.28125" style="29" customWidth="1"/>
    <col min="3" max="3" width="55.140625" style="29" customWidth="1"/>
    <col min="4" max="16384" width="9.140625" style="29" customWidth="1"/>
  </cols>
  <sheetData>
    <row r="1" ht="12.75">
      <c r="B1" s="16" t="s">
        <v>190</v>
      </c>
    </row>
    <row r="3" ht="12.75">
      <c r="B3" s="83" t="s">
        <v>114</v>
      </c>
    </row>
    <row r="4" ht="12.75">
      <c r="B4" s="83"/>
    </row>
    <row r="5" spans="2:3" ht="12.75">
      <c r="B5" s="29" t="s">
        <v>12</v>
      </c>
      <c r="C5" s="29" t="s">
        <v>116</v>
      </c>
    </row>
    <row r="6" spans="2:3" ht="12.75">
      <c r="B6" s="29" t="s">
        <v>13</v>
      </c>
      <c r="C6" s="29" t="s">
        <v>146</v>
      </c>
    </row>
    <row r="7" spans="2:3" ht="12.75">
      <c r="B7" s="29" t="s">
        <v>14</v>
      </c>
      <c r="C7" s="29" t="s">
        <v>63</v>
      </c>
    </row>
    <row r="8" spans="2:3" ht="12.75">
      <c r="B8" s="29" t="s">
        <v>129</v>
      </c>
      <c r="C8" s="74">
        <v>35891</v>
      </c>
    </row>
    <row r="9" spans="2:3" ht="12.75">
      <c r="B9" s="29" t="s">
        <v>188</v>
      </c>
      <c r="C9" s="82">
        <v>35886</v>
      </c>
    </row>
    <row r="10" spans="2:3" ht="12.75">
      <c r="B10" s="29" t="s">
        <v>15</v>
      </c>
      <c r="C10" s="74" t="s">
        <v>122</v>
      </c>
    </row>
    <row r="11" spans="2:3" ht="12.75">
      <c r="B11" s="29" t="s">
        <v>16</v>
      </c>
      <c r="C11" s="74" t="s">
        <v>79</v>
      </c>
    </row>
    <row r="12" ht="12.75">
      <c r="C12" s="74"/>
    </row>
    <row r="13" ht="12.75">
      <c r="B13" s="83" t="s">
        <v>84</v>
      </c>
    </row>
    <row r="14" ht="12.75">
      <c r="B14" s="83"/>
    </row>
    <row r="15" spans="2:3" ht="12.75">
      <c r="B15" s="29" t="s">
        <v>12</v>
      </c>
      <c r="C15" s="29" t="s">
        <v>116</v>
      </c>
    </row>
    <row r="16" spans="2:3" ht="12.75">
      <c r="B16" s="29" t="s">
        <v>13</v>
      </c>
      <c r="C16" s="29" t="s">
        <v>146</v>
      </c>
    </row>
    <row r="17" spans="2:3" ht="12.75">
      <c r="B17" s="29" t="s">
        <v>14</v>
      </c>
      <c r="C17" s="29" t="s">
        <v>63</v>
      </c>
    </row>
    <row r="18" spans="2:3" ht="12.75">
      <c r="B18" s="29" t="s">
        <v>129</v>
      </c>
      <c r="C18" s="74" t="s">
        <v>85</v>
      </c>
    </row>
    <row r="19" spans="2:3" ht="12.75">
      <c r="B19" s="29" t="s">
        <v>188</v>
      </c>
      <c r="C19" s="82">
        <v>35886</v>
      </c>
    </row>
    <row r="20" spans="2:3" ht="12.75">
      <c r="B20" s="29" t="s">
        <v>15</v>
      </c>
      <c r="C20" s="29" t="s">
        <v>117</v>
      </c>
    </row>
    <row r="21" spans="2:3" ht="12.75">
      <c r="B21" s="29" t="s">
        <v>16</v>
      </c>
      <c r="C21" s="29" t="s">
        <v>77</v>
      </c>
    </row>
    <row r="23" spans="2:3" ht="12.75">
      <c r="B23" s="50" t="s">
        <v>218</v>
      </c>
      <c r="C23" s="52"/>
    </row>
    <row r="24" spans="2:3" ht="12.75">
      <c r="B24" s="52"/>
      <c r="C24" s="52"/>
    </row>
    <row r="25" spans="2:3" ht="12.75">
      <c r="B25" s="52" t="s">
        <v>12</v>
      </c>
      <c r="C25" s="52" t="s">
        <v>219</v>
      </c>
    </row>
    <row r="26" spans="2:3" ht="12.75">
      <c r="B26" s="52" t="s">
        <v>13</v>
      </c>
      <c r="C26" s="52"/>
    </row>
    <row r="27" spans="2:3" ht="12.75">
      <c r="B27" s="52" t="s">
        <v>14</v>
      </c>
      <c r="C27" s="52"/>
    </row>
    <row r="28" spans="2:3" ht="12.75">
      <c r="B28" s="52" t="s">
        <v>129</v>
      </c>
      <c r="C28" s="87" t="s">
        <v>220</v>
      </c>
    </row>
    <row r="29" spans="2:3" ht="12.75">
      <c r="B29" s="52" t="s">
        <v>188</v>
      </c>
      <c r="C29" s="90">
        <v>35431</v>
      </c>
    </row>
    <row r="30" spans="2:3" ht="25.5">
      <c r="B30" s="52" t="s">
        <v>15</v>
      </c>
      <c r="C30" s="88" t="s">
        <v>221</v>
      </c>
    </row>
    <row r="31" spans="2:3" ht="12.75">
      <c r="B31" s="52" t="s">
        <v>16</v>
      </c>
      <c r="C31" s="52" t="s">
        <v>222</v>
      </c>
    </row>
    <row r="33" spans="2:3" ht="12.75">
      <c r="B33" s="50" t="s">
        <v>223</v>
      </c>
      <c r="C33" s="52"/>
    </row>
    <row r="34" spans="2:3" ht="12.75">
      <c r="B34" s="52"/>
      <c r="C34" s="52"/>
    </row>
    <row r="35" spans="2:3" ht="12.75">
      <c r="B35" s="52" t="s">
        <v>12</v>
      </c>
      <c r="C35" s="52" t="s">
        <v>219</v>
      </c>
    </row>
    <row r="36" spans="2:3" ht="12.75">
      <c r="B36" s="52" t="s">
        <v>13</v>
      </c>
      <c r="C36" s="52"/>
    </row>
    <row r="37" spans="2:3" ht="12.75">
      <c r="B37" s="52" t="s">
        <v>14</v>
      </c>
      <c r="C37" s="52"/>
    </row>
    <row r="38" spans="2:3" ht="12.75">
      <c r="B38" s="52" t="s">
        <v>129</v>
      </c>
      <c r="C38" s="91">
        <v>35465</v>
      </c>
    </row>
    <row r="39" spans="2:3" ht="12.75">
      <c r="B39" s="52" t="s">
        <v>188</v>
      </c>
      <c r="C39" s="90">
        <v>35431</v>
      </c>
    </row>
    <row r="40" spans="2:3" ht="12.75">
      <c r="B40" s="52" t="s">
        <v>15</v>
      </c>
      <c r="C40" s="88" t="s">
        <v>224</v>
      </c>
    </row>
    <row r="41" spans="2:3" ht="12.75">
      <c r="B41" s="52" t="s">
        <v>16</v>
      </c>
      <c r="C41" s="52" t="s">
        <v>103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7"/>
  <sheetViews>
    <sheetView zoomScale="80" zoomScaleNormal="80" workbookViewId="0" topLeftCell="B1">
      <selection activeCell="A3" sqref="A3"/>
    </sheetView>
  </sheetViews>
  <sheetFormatPr defaultColWidth="9.140625" defaultRowHeight="12.75"/>
  <cols>
    <col min="1" max="1" width="5.7109375" style="3" hidden="1" customWidth="1"/>
    <col min="2" max="2" width="21.140625" style="3" customWidth="1"/>
    <col min="3" max="3" width="11.140625" style="3" customWidth="1"/>
    <col min="4" max="4" width="8.8515625" style="5" customWidth="1"/>
    <col min="5" max="5" width="5.28125" style="5" customWidth="1"/>
    <col min="6" max="6" width="5.140625" style="4" customWidth="1"/>
    <col min="7" max="7" width="10.00390625" style="3" customWidth="1"/>
    <col min="8" max="8" width="6.421875" style="4" customWidth="1"/>
    <col min="9" max="9" width="9.7109375" style="13" customWidth="1"/>
    <col min="10" max="10" width="6.8515625" style="4" customWidth="1"/>
    <col min="11" max="11" width="10.57421875" style="3" customWidth="1"/>
    <col min="12" max="12" width="4.421875" style="4" bestFit="1" customWidth="1"/>
    <col min="13" max="13" width="9.57421875" style="3" customWidth="1"/>
    <col min="14" max="14" width="2.140625" style="3" customWidth="1"/>
    <col min="15" max="16384" width="8.8515625" style="3" customWidth="1"/>
  </cols>
  <sheetData>
    <row r="1" spans="2:13" ht="12.75">
      <c r="B1" s="50" t="s">
        <v>96</v>
      </c>
      <c r="C1" s="50"/>
      <c r="D1" s="19"/>
      <c r="E1" s="19"/>
      <c r="F1" s="51"/>
      <c r="G1" s="52"/>
      <c r="H1" s="51"/>
      <c r="I1" s="53"/>
      <c r="J1" s="51"/>
      <c r="K1" s="52"/>
      <c r="L1" s="51"/>
      <c r="M1" s="52"/>
    </row>
    <row r="2" spans="2:13" ht="12.75">
      <c r="B2" s="51"/>
      <c r="C2" s="51"/>
      <c r="D2" s="19"/>
      <c r="E2" s="19"/>
      <c r="F2" s="51"/>
      <c r="G2" s="51"/>
      <c r="H2" s="51"/>
      <c r="I2" s="54"/>
      <c r="J2" s="51"/>
      <c r="K2" s="51"/>
      <c r="L2" s="51"/>
      <c r="M2" s="52"/>
    </row>
    <row r="3" spans="2:6" ht="12.75">
      <c r="B3" s="29"/>
      <c r="C3" s="29" t="s">
        <v>163</v>
      </c>
      <c r="D3" s="19" t="s">
        <v>17</v>
      </c>
      <c r="E3" s="19" t="s">
        <v>133</v>
      </c>
      <c r="F3" s="51"/>
    </row>
    <row r="4" spans="2:13" ht="12.75">
      <c r="B4" s="29"/>
      <c r="C4" s="29"/>
      <c r="D4" s="19"/>
      <c r="E4" s="19"/>
      <c r="F4" s="51"/>
      <c r="G4" s="51"/>
      <c r="H4" s="51"/>
      <c r="I4" s="54"/>
      <c r="J4" s="51"/>
      <c r="K4" s="51"/>
      <c r="L4" s="51"/>
      <c r="M4" s="52"/>
    </row>
    <row r="5" spans="2:13" ht="12.75">
      <c r="B5" s="29"/>
      <c r="C5" s="29"/>
      <c r="D5" s="19"/>
      <c r="E5" s="19"/>
      <c r="F5" s="51"/>
      <c r="G5" s="51"/>
      <c r="H5" s="51"/>
      <c r="I5" s="54"/>
      <c r="J5" s="51"/>
      <c r="K5" s="51"/>
      <c r="L5" s="51"/>
      <c r="M5" s="52"/>
    </row>
    <row r="6" spans="1:13" ht="12.75">
      <c r="A6" s="3">
        <v>1</v>
      </c>
      <c r="B6" s="57" t="s">
        <v>114</v>
      </c>
      <c r="C6" s="57" t="s">
        <v>164</v>
      </c>
      <c r="D6" s="19"/>
      <c r="E6" s="19"/>
      <c r="F6" s="51"/>
      <c r="G6" s="51" t="s">
        <v>203</v>
      </c>
      <c r="H6" s="51"/>
      <c r="I6" s="54" t="s">
        <v>204</v>
      </c>
      <c r="J6" s="51"/>
      <c r="K6" s="51" t="s">
        <v>205</v>
      </c>
      <c r="L6" s="51"/>
      <c r="M6" s="52" t="s">
        <v>51</v>
      </c>
    </row>
    <row r="7" spans="2:13" ht="12.75">
      <c r="B7" s="19"/>
      <c r="C7" s="19"/>
      <c r="D7" s="19"/>
      <c r="E7" s="19"/>
      <c r="F7" s="51"/>
      <c r="G7" s="55"/>
      <c r="H7" s="51"/>
      <c r="I7" s="56"/>
      <c r="J7" s="51"/>
      <c r="K7" s="55"/>
      <c r="L7" s="51"/>
      <c r="M7" s="52"/>
    </row>
    <row r="8" spans="2:13" ht="12.75">
      <c r="B8" s="19" t="s">
        <v>177</v>
      </c>
      <c r="C8" s="19" t="s">
        <v>191</v>
      </c>
      <c r="D8" s="19" t="s">
        <v>19</v>
      </c>
      <c r="E8" s="19" t="s">
        <v>18</v>
      </c>
      <c r="F8" s="51"/>
      <c r="G8" s="55">
        <v>54.9</v>
      </c>
      <c r="H8" s="51"/>
      <c r="I8" s="56">
        <v>57.6</v>
      </c>
      <c r="J8" s="51"/>
      <c r="K8" s="55">
        <v>44.8</v>
      </c>
      <c r="L8" s="51"/>
      <c r="M8" s="62">
        <v>52.5</v>
      </c>
    </row>
    <row r="9" spans="2:13" ht="12.75">
      <c r="B9" s="19" t="s">
        <v>176</v>
      </c>
      <c r="C9" s="19" t="s">
        <v>191</v>
      </c>
      <c r="D9" s="19" t="s">
        <v>19</v>
      </c>
      <c r="E9" s="19" t="s">
        <v>18</v>
      </c>
      <c r="F9" s="51"/>
      <c r="G9" s="55">
        <v>42.8</v>
      </c>
      <c r="H9" s="51"/>
      <c r="I9" s="56">
        <v>46.3</v>
      </c>
      <c r="J9" s="51"/>
      <c r="K9" s="55">
        <v>33.1</v>
      </c>
      <c r="L9" s="51"/>
      <c r="M9" s="62">
        <f>AVERAGE(G9,I9,K9)</f>
        <v>40.73333333333333</v>
      </c>
    </row>
    <row r="10" spans="2:13" ht="12.75">
      <c r="B10" s="19"/>
      <c r="C10" s="19"/>
      <c r="D10" s="19"/>
      <c r="E10" s="19"/>
      <c r="F10" s="51"/>
      <c r="G10" s="55"/>
      <c r="H10" s="51"/>
      <c r="I10" s="56"/>
      <c r="J10" s="51"/>
      <c r="K10" s="55"/>
      <c r="L10" s="51"/>
      <c r="M10" s="52"/>
    </row>
    <row r="11" spans="2:13" ht="12.75">
      <c r="B11" s="19" t="s">
        <v>127</v>
      </c>
      <c r="C11" s="19" t="s">
        <v>65</v>
      </c>
      <c r="D11" s="19"/>
      <c r="E11" s="19"/>
      <c r="F11" s="51"/>
      <c r="G11" s="55"/>
      <c r="H11" s="51"/>
      <c r="I11" s="56"/>
      <c r="J11" s="51"/>
      <c r="K11" s="55"/>
      <c r="L11" s="51"/>
      <c r="M11" s="52"/>
    </row>
    <row r="12" spans="2:13" ht="12.75">
      <c r="B12" s="19" t="s">
        <v>167</v>
      </c>
      <c r="C12" s="19"/>
      <c r="D12" s="19" t="s">
        <v>66</v>
      </c>
      <c r="E12" s="19"/>
      <c r="F12" s="51"/>
      <c r="G12" s="55">
        <v>45.04</v>
      </c>
      <c r="H12" s="51"/>
      <c r="I12" s="56">
        <v>44.99</v>
      </c>
      <c r="J12" s="51"/>
      <c r="K12" s="55">
        <v>45</v>
      </c>
      <c r="L12" s="51"/>
      <c r="M12" s="52"/>
    </row>
    <row r="13" spans="2:13" ht="12.75">
      <c r="B13" s="19" t="s">
        <v>168</v>
      </c>
      <c r="C13" s="19" t="s">
        <v>191</v>
      </c>
      <c r="D13" s="19" t="s">
        <v>66</v>
      </c>
      <c r="E13" s="19"/>
      <c r="F13" s="51" t="s">
        <v>32</v>
      </c>
      <c r="G13" s="59">
        <v>3E-05</v>
      </c>
      <c r="H13" s="51" t="s">
        <v>32</v>
      </c>
      <c r="I13" s="59">
        <v>3E-05</v>
      </c>
      <c r="J13" s="51" t="s">
        <v>32</v>
      </c>
      <c r="K13" s="59">
        <v>3E-05</v>
      </c>
      <c r="L13" s="51"/>
      <c r="M13" s="60"/>
    </row>
    <row r="14" spans="2:13" ht="12.75">
      <c r="B14" s="19" t="s">
        <v>64</v>
      </c>
      <c r="C14" s="19" t="s">
        <v>191</v>
      </c>
      <c r="D14" s="19" t="s">
        <v>21</v>
      </c>
      <c r="E14" s="19"/>
      <c r="F14" s="51" t="s">
        <v>95</v>
      </c>
      <c r="G14" s="55">
        <v>99.99993</v>
      </c>
      <c r="H14" s="51" t="s">
        <v>95</v>
      </c>
      <c r="I14" s="56">
        <v>99.99993</v>
      </c>
      <c r="J14" s="51" t="s">
        <v>95</v>
      </c>
      <c r="K14" s="55">
        <v>99.99993</v>
      </c>
      <c r="L14" s="51"/>
      <c r="M14" s="61"/>
    </row>
    <row r="15" spans="2:13" ht="12.75">
      <c r="B15" s="19"/>
      <c r="C15" s="19"/>
      <c r="D15" s="19"/>
      <c r="E15" s="19"/>
      <c r="F15" s="51"/>
      <c r="G15" s="55"/>
      <c r="H15" s="51"/>
      <c r="I15" s="56"/>
      <c r="J15" s="51"/>
      <c r="K15" s="55"/>
      <c r="L15" s="51"/>
      <c r="M15" s="52"/>
    </row>
    <row r="16" spans="2:13" ht="12.75">
      <c r="B16" s="19" t="s">
        <v>179</v>
      </c>
      <c r="C16" s="19" t="s">
        <v>64</v>
      </c>
      <c r="D16" s="19" t="s">
        <v>191</v>
      </c>
      <c r="E16" s="19"/>
      <c r="F16" s="51"/>
      <c r="G16" s="55"/>
      <c r="H16" s="51"/>
      <c r="I16" s="56"/>
      <c r="J16" s="51"/>
      <c r="K16" s="55"/>
      <c r="L16" s="51"/>
      <c r="M16" s="52"/>
    </row>
    <row r="17" spans="2:13" ht="12.75">
      <c r="B17" s="19" t="s">
        <v>151</v>
      </c>
      <c r="C17" s="19"/>
      <c r="D17" s="19" t="s">
        <v>20</v>
      </c>
      <c r="E17" s="19"/>
      <c r="F17" s="51"/>
      <c r="G17" s="55">
        <v>10705</v>
      </c>
      <c r="H17" s="51"/>
      <c r="I17" s="56">
        <v>10705</v>
      </c>
      <c r="J17" s="51"/>
      <c r="K17" s="55">
        <v>10508</v>
      </c>
      <c r="L17" s="51"/>
      <c r="M17" s="62">
        <f>AVERAGE(G17,I17,K17)</f>
        <v>10639.333333333334</v>
      </c>
    </row>
    <row r="18" spans="2:13" ht="12.75">
      <c r="B18" s="19" t="s">
        <v>169</v>
      </c>
      <c r="C18" s="19"/>
      <c r="D18" s="19" t="s">
        <v>21</v>
      </c>
      <c r="E18" s="19"/>
      <c r="F18" s="51"/>
      <c r="G18" s="55">
        <v>12.4</v>
      </c>
      <c r="H18" s="51"/>
      <c r="I18" s="56">
        <v>13.6</v>
      </c>
      <c r="J18" s="51"/>
      <c r="K18" s="55">
        <v>12.8</v>
      </c>
      <c r="L18" s="51"/>
      <c r="M18" s="62">
        <f>AVERAGE(G18,I18,K18)</f>
        <v>12.933333333333332</v>
      </c>
    </row>
    <row r="19" spans="2:13" ht="12.75">
      <c r="B19" s="19" t="s">
        <v>170</v>
      </c>
      <c r="C19" s="19"/>
      <c r="D19" s="19" t="s">
        <v>21</v>
      </c>
      <c r="E19" s="19"/>
      <c r="F19" s="51"/>
      <c r="G19" s="55">
        <v>16.07</v>
      </c>
      <c r="H19" s="51"/>
      <c r="I19" s="56">
        <v>15.65</v>
      </c>
      <c r="J19" s="51"/>
      <c r="K19" s="55">
        <v>16.54</v>
      </c>
      <c r="L19" s="51"/>
      <c r="M19" s="62">
        <f>AVERAGE(G19,I19,K19)</f>
        <v>16.086666666666666</v>
      </c>
    </row>
    <row r="20" spans="2:13" ht="12.75">
      <c r="B20" s="19" t="s">
        <v>150</v>
      </c>
      <c r="C20" s="19"/>
      <c r="D20" s="19" t="s">
        <v>22</v>
      </c>
      <c r="E20" s="19"/>
      <c r="F20" s="51"/>
      <c r="G20" s="55">
        <v>129</v>
      </c>
      <c r="H20" s="51"/>
      <c r="I20" s="56">
        <v>129</v>
      </c>
      <c r="J20" s="51"/>
      <c r="K20" s="55">
        <v>130</v>
      </c>
      <c r="L20" s="51"/>
      <c r="M20" s="62">
        <f>AVERAGE(G20,I20,K20)</f>
        <v>129.33333333333334</v>
      </c>
    </row>
    <row r="21" spans="2:13" ht="12.75">
      <c r="B21" s="19"/>
      <c r="C21" s="19"/>
      <c r="D21" s="19"/>
      <c r="E21" s="19"/>
      <c r="F21" s="51"/>
      <c r="G21" s="55"/>
      <c r="H21" s="51"/>
      <c r="I21" s="56"/>
      <c r="J21" s="51"/>
      <c r="K21" s="55"/>
      <c r="L21" s="51"/>
      <c r="M21" s="52"/>
    </row>
    <row r="22" spans="1:13" ht="12.75">
      <c r="A22" s="3">
        <v>2</v>
      </c>
      <c r="B22" s="57" t="s">
        <v>84</v>
      </c>
      <c r="C22" s="57" t="s">
        <v>165</v>
      </c>
      <c r="D22" s="19"/>
      <c r="E22" s="19"/>
      <c r="F22" s="51"/>
      <c r="G22" s="51" t="s">
        <v>203</v>
      </c>
      <c r="H22" s="51"/>
      <c r="I22" s="54" t="s">
        <v>204</v>
      </c>
      <c r="J22" s="51"/>
      <c r="K22" s="51" t="s">
        <v>205</v>
      </c>
      <c r="L22" s="51"/>
      <c r="M22" s="52" t="s">
        <v>51</v>
      </c>
    </row>
    <row r="23" spans="2:13" ht="12.75">
      <c r="B23" s="19"/>
      <c r="C23" s="19"/>
      <c r="D23" s="29"/>
      <c r="E23" s="29"/>
      <c r="F23" s="63"/>
      <c r="G23" s="29"/>
      <c r="H23" s="63"/>
      <c r="I23" s="64"/>
      <c r="J23" s="63"/>
      <c r="K23" s="29"/>
      <c r="L23" s="51"/>
      <c r="M23" s="52"/>
    </row>
    <row r="24" spans="2:13" ht="12.75">
      <c r="B24" s="19" t="s">
        <v>177</v>
      </c>
      <c r="C24" s="19" t="s">
        <v>191</v>
      </c>
      <c r="D24" s="19" t="s">
        <v>19</v>
      </c>
      <c r="E24" s="19" t="s">
        <v>18</v>
      </c>
      <c r="F24" s="51"/>
      <c r="G24" s="55">
        <v>22.98</v>
      </c>
      <c r="H24" s="51"/>
      <c r="I24" s="56">
        <v>97.67</v>
      </c>
      <c r="J24" s="51"/>
      <c r="K24" s="55">
        <v>19.8</v>
      </c>
      <c r="L24" s="51"/>
      <c r="M24" s="62">
        <f>AVERAGE(G24,I24,K24)</f>
        <v>46.81666666666667</v>
      </c>
    </row>
    <row r="25" spans="2:13" ht="12.75">
      <c r="B25" s="19" t="s">
        <v>176</v>
      </c>
      <c r="C25" s="19" t="s">
        <v>191</v>
      </c>
      <c r="D25" s="19" t="s">
        <v>19</v>
      </c>
      <c r="E25" s="19" t="s">
        <v>18</v>
      </c>
      <c r="F25" s="51"/>
      <c r="G25" s="55">
        <v>18.74</v>
      </c>
      <c r="H25" s="51"/>
      <c r="I25" s="56">
        <v>31</v>
      </c>
      <c r="J25" s="51"/>
      <c r="K25" s="55">
        <v>18.16</v>
      </c>
      <c r="L25" s="51"/>
      <c r="M25" s="62">
        <f>AVERAGE(G25,I25,K25)</f>
        <v>22.63333333333333</v>
      </c>
    </row>
    <row r="26" spans="2:13" ht="12.75">
      <c r="B26" s="19" t="s">
        <v>152</v>
      </c>
      <c r="C26" s="19"/>
      <c r="D26" s="19" t="s">
        <v>149</v>
      </c>
      <c r="E26" s="19"/>
      <c r="F26" s="51" t="s">
        <v>32</v>
      </c>
      <c r="G26" s="55">
        <v>0.02</v>
      </c>
      <c r="H26" s="51" t="s">
        <v>32</v>
      </c>
      <c r="I26" s="56">
        <v>0.02</v>
      </c>
      <c r="J26" s="51" t="s">
        <v>32</v>
      </c>
      <c r="K26" s="55">
        <v>0.02</v>
      </c>
      <c r="L26" s="51"/>
      <c r="M26" s="58"/>
    </row>
    <row r="27" spans="2:13" ht="12.75">
      <c r="B27" s="19" t="s">
        <v>153</v>
      </c>
      <c r="C27" s="19"/>
      <c r="D27" s="19" t="s">
        <v>149</v>
      </c>
      <c r="E27" s="19"/>
      <c r="F27" s="51"/>
      <c r="G27" s="52">
        <v>0.00033</v>
      </c>
      <c r="H27" s="51"/>
      <c r="I27" s="56">
        <v>0.00083</v>
      </c>
      <c r="J27" s="51"/>
      <c r="K27" s="55">
        <v>0.0048</v>
      </c>
      <c r="L27" s="51"/>
      <c r="M27" s="65"/>
    </row>
    <row r="28" spans="2:13" ht="12.75">
      <c r="B28" s="19" t="s">
        <v>154</v>
      </c>
      <c r="C28" s="19"/>
      <c r="D28" s="19" t="s">
        <v>149</v>
      </c>
      <c r="E28" s="19"/>
      <c r="F28" s="51"/>
      <c r="G28" s="21">
        <v>0</v>
      </c>
      <c r="H28" s="66"/>
      <c r="I28" s="39">
        <v>0</v>
      </c>
      <c r="J28" s="66"/>
      <c r="K28" s="39">
        <v>0</v>
      </c>
      <c r="L28" s="66"/>
      <c r="M28" s="39"/>
    </row>
    <row r="29" spans="2:13" ht="12.75">
      <c r="B29" s="19" t="s">
        <v>155</v>
      </c>
      <c r="C29" s="19"/>
      <c r="D29" s="19" t="s">
        <v>149</v>
      </c>
      <c r="E29" s="19"/>
      <c r="F29" s="51"/>
      <c r="G29" s="67">
        <v>0.00058</v>
      </c>
      <c r="H29" s="51"/>
      <c r="I29" s="56">
        <v>0.00053</v>
      </c>
      <c r="J29" s="51"/>
      <c r="K29" s="55">
        <v>0.00058</v>
      </c>
      <c r="L29" s="51"/>
      <c r="M29" s="61"/>
    </row>
    <row r="30" spans="2:13" ht="12.75">
      <c r="B30" s="19" t="s">
        <v>156</v>
      </c>
      <c r="C30" s="19"/>
      <c r="D30" s="19" t="s">
        <v>149</v>
      </c>
      <c r="E30" s="19"/>
      <c r="F30" s="51" t="s">
        <v>32</v>
      </c>
      <c r="G30" s="68">
        <v>0.002</v>
      </c>
      <c r="H30" s="51" t="s">
        <v>32</v>
      </c>
      <c r="I30" s="56">
        <v>0.003</v>
      </c>
      <c r="J30" s="51" t="s">
        <v>32</v>
      </c>
      <c r="K30" s="55">
        <v>0.001</v>
      </c>
      <c r="L30" s="51"/>
      <c r="M30" s="65"/>
    </row>
    <row r="31" spans="2:13" ht="12.75">
      <c r="B31" s="19" t="s">
        <v>178</v>
      </c>
      <c r="C31" s="19"/>
      <c r="D31" s="19" t="s">
        <v>149</v>
      </c>
      <c r="E31" s="19"/>
      <c r="F31" s="51"/>
      <c r="G31" s="20">
        <v>0.011</v>
      </c>
      <c r="H31" s="51"/>
      <c r="I31" s="56">
        <v>0.0093</v>
      </c>
      <c r="J31" s="51"/>
      <c r="K31" s="55">
        <v>0.0086</v>
      </c>
      <c r="L31" s="51"/>
      <c r="M31" s="69"/>
    </row>
    <row r="32" spans="2:13" ht="12.75">
      <c r="B32" s="19" t="s">
        <v>171</v>
      </c>
      <c r="C32" s="19"/>
      <c r="D32" s="19" t="s">
        <v>149</v>
      </c>
      <c r="E32" s="19"/>
      <c r="F32" s="51" t="s">
        <v>32</v>
      </c>
      <c r="G32" s="20">
        <v>0.002</v>
      </c>
      <c r="H32" s="51" t="s">
        <v>32</v>
      </c>
      <c r="I32" s="56">
        <v>0.003</v>
      </c>
      <c r="J32" s="51" t="s">
        <v>32</v>
      </c>
      <c r="K32" s="55">
        <v>0.005</v>
      </c>
      <c r="L32" s="51"/>
      <c r="M32" s="65"/>
    </row>
    <row r="33" spans="2:13" ht="12.75">
      <c r="B33" s="19" t="s">
        <v>172</v>
      </c>
      <c r="C33" s="19"/>
      <c r="D33" s="19" t="s">
        <v>149</v>
      </c>
      <c r="E33" s="19"/>
      <c r="F33" s="51"/>
      <c r="G33" s="68">
        <v>0.093</v>
      </c>
      <c r="H33" s="51"/>
      <c r="I33" s="56">
        <v>0.071</v>
      </c>
      <c r="J33" s="51"/>
      <c r="K33" s="55">
        <v>0.066</v>
      </c>
      <c r="L33" s="51"/>
      <c r="M33" s="65"/>
    </row>
    <row r="34" spans="2:13" ht="12.75">
      <c r="B34" s="19" t="s">
        <v>157</v>
      </c>
      <c r="C34" s="19"/>
      <c r="D34" s="19" t="s">
        <v>149</v>
      </c>
      <c r="E34" s="19"/>
      <c r="F34" s="51" t="s">
        <v>32</v>
      </c>
      <c r="G34" s="20">
        <v>0.02</v>
      </c>
      <c r="H34" s="51"/>
      <c r="I34" s="56">
        <v>0.02</v>
      </c>
      <c r="J34" s="51" t="s">
        <v>32</v>
      </c>
      <c r="K34" s="55">
        <v>0.02</v>
      </c>
      <c r="L34" s="51"/>
      <c r="M34" s="58"/>
    </row>
    <row r="35" spans="2:13" ht="12.75">
      <c r="B35" s="19" t="s">
        <v>173</v>
      </c>
      <c r="C35" s="19"/>
      <c r="D35" s="19" t="s">
        <v>149</v>
      </c>
      <c r="E35" s="19"/>
      <c r="F35" s="51"/>
      <c r="G35" s="20">
        <v>0.37</v>
      </c>
      <c r="H35" s="51"/>
      <c r="I35" s="56">
        <v>0.34</v>
      </c>
      <c r="J35" s="51"/>
      <c r="K35" s="55">
        <v>0.47</v>
      </c>
      <c r="L35" s="51"/>
      <c r="M35" s="58"/>
    </row>
    <row r="36" spans="2:13" ht="12.75">
      <c r="B36" s="19" t="s">
        <v>158</v>
      </c>
      <c r="C36" s="19"/>
      <c r="D36" s="19" t="s">
        <v>149</v>
      </c>
      <c r="E36" s="19"/>
      <c r="F36" s="51" t="s">
        <v>32</v>
      </c>
      <c r="G36" s="68">
        <v>0.003</v>
      </c>
      <c r="H36" s="51" t="s">
        <v>32</v>
      </c>
      <c r="I36" s="56">
        <v>0.002</v>
      </c>
      <c r="J36" s="51" t="s">
        <v>32</v>
      </c>
      <c r="K36" s="55">
        <v>0.001</v>
      </c>
      <c r="L36" s="51"/>
      <c r="M36" s="65"/>
    </row>
    <row r="37" spans="2:13" ht="12.75">
      <c r="B37" s="19" t="s">
        <v>174</v>
      </c>
      <c r="C37" s="19"/>
      <c r="D37" s="19" t="s">
        <v>149</v>
      </c>
      <c r="E37" s="19"/>
      <c r="F37" s="51" t="s">
        <v>32</v>
      </c>
      <c r="G37" s="68">
        <v>0.07</v>
      </c>
      <c r="H37" s="51" t="s">
        <v>32</v>
      </c>
      <c r="I37" s="56">
        <v>0.06</v>
      </c>
      <c r="J37" s="51" t="s">
        <v>32</v>
      </c>
      <c r="K37" s="55">
        <v>0.07</v>
      </c>
      <c r="L37" s="51"/>
      <c r="M37" s="58"/>
    </row>
    <row r="38" spans="2:13" ht="12.75">
      <c r="B38" s="19" t="s">
        <v>159</v>
      </c>
      <c r="C38" s="19"/>
      <c r="D38" s="19" t="s">
        <v>149</v>
      </c>
      <c r="E38" s="19"/>
      <c r="F38" s="51" t="s">
        <v>32</v>
      </c>
      <c r="G38" s="20">
        <v>0.01</v>
      </c>
      <c r="H38" s="51" t="s">
        <v>32</v>
      </c>
      <c r="I38" s="56">
        <v>0.01</v>
      </c>
      <c r="J38" s="51" t="s">
        <v>32</v>
      </c>
      <c r="K38" s="55">
        <v>0.01</v>
      </c>
      <c r="L38" s="51"/>
      <c r="M38" s="58"/>
    </row>
    <row r="39" spans="2:13" ht="12.75">
      <c r="B39" s="19" t="s">
        <v>160</v>
      </c>
      <c r="C39" s="19"/>
      <c r="D39" s="19" t="s">
        <v>149</v>
      </c>
      <c r="E39" s="19"/>
      <c r="F39" s="51" t="s">
        <v>32</v>
      </c>
      <c r="G39" s="68">
        <v>0.006</v>
      </c>
      <c r="H39" s="51" t="s">
        <v>32</v>
      </c>
      <c r="I39" s="56">
        <v>0.004</v>
      </c>
      <c r="J39" s="51" t="s">
        <v>32</v>
      </c>
      <c r="K39" s="55">
        <v>0.004</v>
      </c>
      <c r="L39" s="51"/>
      <c r="M39" s="65"/>
    </row>
    <row r="40" spans="2:13" ht="12.75">
      <c r="B40" s="19" t="s">
        <v>161</v>
      </c>
      <c r="C40" s="19"/>
      <c r="D40" s="19" t="s">
        <v>149</v>
      </c>
      <c r="E40" s="19"/>
      <c r="F40" s="51" t="s">
        <v>32</v>
      </c>
      <c r="G40" s="67">
        <v>0.0008</v>
      </c>
      <c r="H40" s="51" t="s">
        <v>32</v>
      </c>
      <c r="I40" s="56">
        <v>0.0008</v>
      </c>
      <c r="J40" s="51" t="s">
        <v>32</v>
      </c>
      <c r="K40" s="55">
        <v>0.0008</v>
      </c>
      <c r="L40" s="51"/>
      <c r="M40" s="69"/>
    </row>
    <row r="41" spans="2:13" ht="12.75">
      <c r="B41" s="19" t="s">
        <v>162</v>
      </c>
      <c r="C41" s="19"/>
      <c r="D41" s="19" t="s">
        <v>149</v>
      </c>
      <c r="E41" s="19"/>
      <c r="F41" s="51" t="s">
        <v>32</v>
      </c>
      <c r="G41" s="52">
        <v>0.006</v>
      </c>
      <c r="H41" s="51" t="s">
        <v>32</v>
      </c>
      <c r="I41" s="53">
        <v>0.008</v>
      </c>
      <c r="J41" s="51" t="s">
        <v>32</v>
      </c>
      <c r="K41" s="52">
        <v>0.006</v>
      </c>
      <c r="L41" s="51"/>
      <c r="M41" s="69"/>
    </row>
    <row r="42" spans="2:13" ht="12.75">
      <c r="B42" s="19" t="s">
        <v>175</v>
      </c>
      <c r="C42" s="19"/>
      <c r="D42" s="19" t="s">
        <v>149</v>
      </c>
      <c r="E42" s="19"/>
      <c r="F42" s="51" t="s">
        <v>32</v>
      </c>
      <c r="G42" s="20">
        <v>0.005</v>
      </c>
      <c r="H42" s="51" t="s">
        <v>32</v>
      </c>
      <c r="I42" s="56">
        <v>0.005</v>
      </c>
      <c r="J42" s="51" t="s">
        <v>32</v>
      </c>
      <c r="K42" s="55">
        <v>0.005</v>
      </c>
      <c r="L42" s="51"/>
      <c r="M42" s="65"/>
    </row>
    <row r="43" spans="2:13" ht="12.75">
      <c r="B43" s="19"/>
      <c r="C43" s="19"/>
      <c r="D43" s="19"/>
      <c r="E43" s="19"/>
      <c r="F43" s="51"/>
      <c r="G43" s="20"/>
      <c r="H43" s="51"/>
      <c r="I43" s="56"/>
      <c r="J43" s="51"/>
      <c r="K43" s="55"/>
      <c r="L43" s="51"/>
      <c r="M43" s="65"/>
    </row>
    <row r="44" spans="2:13" ht="12.75">
      <c r="B44" s="19" t="s">
        <v>179</v>
      </c>
      <c r="C44" s="19" t="s">
        <v>237</v>
      </c>
      <c r="D44" s="19" t="s">
        <v>191</v>
      </c>
      <c r="E44" s="19"/>
      <c r="F44" s="51"/>
      <c r="G44" s="70"/>
      <c r="H44" s="51"/>
      <c r="I44" s="71"/>
      <c r="J44" s="51"/>
      <c r="K44" s="70"/>
      <c r="L44" s="51"/>
      <c r="M44" s="52"/>
    </row>
    <row r="45" spans="2:13" ht="12.75">
      <c r="B45" s="19" t="s">
        <v>151</v>
      </c>
      <c r="C45" s="19"/>
      <c r="D45" s="19" t="s">
        <v>20</v>
      </c>
      <c r="E45" s="19"/>
      <c r="F45" s="51"/>
      <c r="G45" s="70">
        <v>10324</v>
      </c>
      <c r="H45" s="51"/>
      <c r="I45" s="71">
        <v>10464</v>
      </c>
      <c r="J45" s="51"/>
      <c r="K45" s="70">
        <v>10159</v>
      </c>
      <c r="L45" s="51"/>
      <c r="M45" s="62">
        <f>AVERAGE(G45,I45,K45)</f>
        <v>10315.666666666666</v>
      </c>
    </row>
    <row r="46" spans="2:13" ht="12.75">
      <c r="B46" s="19" t="s">
        <v>169</v>
      </c>
      <c r="C46" s="19"/>
      <c r="D46" s="19" t="s">
        <v>21</v>
      </c>
      <c r="E46" s="19"/>
      <c r="F46" s="51"/>
      <c r="G46" s="70"/>
      <c r="H46" s="51"/>
      <c r="I46" s="71"/>
      <c r="J46" s="51"/>
      <c r="K46" s="70"/>
      <c r="L46" s="51"/>
      <c r="M46" s="62"/>
    </row>
    <row r="47" spans="2:13" ht="12.75">
      <c r="B47" s="19" t="s">
        <v>170</v>
      </c>
      <c r="C47" s="19"/>
      <c r="D47" s="19" t="s">
        <v>21</v>
      </c>
      <c r="E47" s="19"/>
      <c r="F47" s="51"/>
      <c r="G47" s="55"/>
      <c r="H47" s="51"/>
      <c r="I47" s="56"/>
      <c r="J47" s="51"/>
      <c r="K47" s="55"/>
      <c r="L47" s="51"/>
      <c r="M47" s="62"/>
    </row>
    <row r="48" spans="2:13" ht="12.75">
      <c r="B48" s="19" t="s">
        <v>150</v>
      </c>
      <c r="C48" s="19"/>
      <c r="D48" s="19" t="s">
        <v>22</v>
      </c>
      <c r="E48" s="19"/>
      <c r="F48" s="51"/>
      <c r="G48" s="55"/>
      <c r="H48" s="51"/>
      <c r="I48" s="56"/>
      <c r="J48" s="51"/>
      <c r="K48" s="55"/>
      <c r="L48" s="51"/>
      <c r="M48" s="62"/>
    </row>
    <row r="49" spans="2:13" ht="12.75">
      <c r="B49" s="19"/>
      <c r="C49" s="19"/>
      <c r="D49" s="19"/>
      <c r="E49" s="19"/>
      <c r="F49" s="51"/>
      <c r="G49" s="55"/>
      <c r="H49" s="51"/>
      <c r="I49" s="56"/>
      <c r="J49" s="51"/>
      <c r="K49" s="55"/>
      <c r="L49" s="51"/>
      <c r="M49" s="62"/>
    </row>
    <row r="50" spans="2:13" ht="12.75">
      <c r="B50" s="19" t="s">
        <v>179</v>
      </c>
      <c r="C50" s="19" t="s">
        <v>166</v>
      </c>
      <c r="D50" s="19" t="s">
        <v>192</v>
      </c>
      <c r="E50" s="19"/>
      <c r="F50" s="51"/>
      <c r="G50" s="55"/>
      <c r="H50" s="51"/>
      <c r="I50" s="56"/>
      <c r="J50" s="51"/>
      <c r="K50" s="55"/>
      <c r="L50" s="51"/>
      <c r="M50" s="62"/>
    </row>
    <row r="51" spans="2:13" ht="12.75">
      <c r="B51" s="19" t="s">
        <v>151</v>
      </c>
      <c r="C51" s="19"/>
      <c r="D51" s="19" t="s">
        <v>20</v>
      </c>
      <c r="E51" s="19"/>
      <c r="F51" s="51"/>
      <c r="G51" s="55">
        <v>10200</v>
      </c>
      <c r="H51" s="51"/>
      <c r="I51" s="56">
        <v>10800</v>
      </c>
      <c r="J51" s="51"/>
      <c r="K51" s="55">
        <v>10300</v>
      </c>
      <c r="L51" s="51"/>
      <c r="M51" s="62">
        <f>AVERAGE(G51,I51,K51)</f>
        <v>10433.333333333334</v>
      </c>
    </row>
    <row r="52" spans="2:13" ht="12.75">
      <c r="B52" s="19" t="s">
        <v>169</v>
      </c>
      <c r="C52" s="19"/>
      <c r="D52" s="19" t="s">
        <v>21</v>
      </c>
      <c r="E52" s="19"/>
      <c r="F52" s="51"/>
      <c r="G52" s="55">
        <v>10.3</v>
      </c>
      <c r="H52" s="51"/>
      <c r="I52" s="56">
        <v>10.5</v>
      </c>
      <c r="J52" s="51"/>
      <c r="K52" s="55">
        <v>10.4</v>
      </c>
      <c r="L52" s="51"/>
      <c r="M52" s="62">
        <f>AVERAGE(G52,I52,K52)</f>
        <v>10.4</v>
      </c>
    </row>
    <row r="53" spans="2:13" ht="12.75">
      <c r="B53" s="19" t="s">
        <v>170</v>
      </c>
      <c r="C53" s="19"/>
      <c r="D53" s="19" t="s">
        <v>21</v>
      </c>
      <c r="E53" s="19"/>
      <c r="F53" s="51"/>
      <c r="G53" s="55"/>
      <c r="H53" s="51"/>
      <c r="I53" s="56"/>
      <c r="J53" s="66"/>
      <c r="K53" s="55"/>
      <c r="L53" s="51"/>
      <c r="M53" s="52"/>
    </row>
    <row r="54" spans="2:13" ht="12.75">
      <c r="B54" s="19" t="s">
        <v>150</v>
      </c>
      <c r="C54" s="19"/>
      <c r="D54" s="19" t="s">
        <v>22</v>
      </c>
      <c r="E54" s="19"/>
      <c r="F54" s="51"/>
      <c r="G54" s="55"/>
      <c r="H54" s="51"/>
      <c r="I54" s="56"/>
      <c r="J54" s="51"/>
      <c r="K54" s="55"/>
      <c r="L54" s="51"/>
      <c r="M54" s="52"/>
    </row>
    <row r="55" spans="2:13" ht="12.75">
      <c r="B55" s="19"/>
      <c r="C55" s="19"/>
      <c r="D55" s="19"/>
      <c r="E55" s="19"/>
      <c r="F55" s="51"/>
      <c r="G55" s="20"/>
      <c r="H55" s="51"/>
      <c r="I55" s="56"/>
      <c r="J55" s="51"/>
      <c r="K55" s="55"/>
      <c r="L55" s="51"/>
      <c r="M55" s="65"/>
    </row>
    <row r="56" spans="2:13" ht="12.75">
      <c r="B56" s="19" t="s">
        <v>152</v>
      </c>
      <c r="C56" s="19" t="s">
        <v>191</v>
      </c>
      <c r="D56" s="19" t="s">
        <v>105</v>
      </c>
      <c r="E56" s="19" t="s">
        <v>18</v>
      </c>
      <c r="F56" s="51" t="s">
        <v>32</v>
      </c>
      <c r="G56" s="20">
        <f aca="true" t="shared" si="0" ref="G56:G72">(G26*(14/(21-G$52)))/0.0283</f>
        <v>0.9246722367160928</v>
      </c>
      <c r="H56" s="51" t="s">
        <v>32</v>
      </c>
      <c r="I56" s="20">
        <f aca="true" t="shared" si="1" ref="I56:I72">(I26*(14/(21-I$52)))/0.0283</f>
        <v>0.9422850412249706</v>
      </c>
      <c r="J56" s="51" t="s">
        <v>32</v>
      </c>
      <c r="K56" s="20">
        <f aca="true" t="shared" si="2" ref="K56:K72">(K26*(14/(21-K$52)))/0.0283</f>
        <v>0.9333955597039805</v>
      </c>
      <c r="L56" s="51">
        <v>100</v>
      </c>
      <c r="M56" s="20">
        <f>AVERAGE(G56,I56,K56)</f>
        <v>0.9334509458816812</v>
      </c>
    </row>
    <row r="57" spans="2:13" ht="12.75">
      <c r="B57" s="19" t="s">
        <v>153</v>
      </c>
      <c r="C57" s="19" t="s">
        <v>191</v>
      </c>
      <c r="D57" s="19" t="s">
        <v>105</v>
      </c>
      <c r="E57" s="19" t="s">
        <v>18</v>
      </c>
      <c r="F57" s="51"/>
      <c r="G57" s="20">
        <f t="shared" si="0"/>
        <v>0.01525709190581553</v>
      </c>
      <c r="H57" s="51"/>
      <c r="I57" s="20">
        <f t="shared" si="1"/>
        <v>0.03910482921083628</v>
      </c>
      <c r="J57" s="51"/>
      <c r="K57" s="20">
        <f t="shared" si="2"/>
        <v>0.22401493432895528</v>
      </c>
      <c r="L57" s="51"/>
      <c r="M57" s="20">
        <f aca="true" t="shared" si="3" ref="M57:M74">AVERAGE(G57,I57,K57)</f>
        <v>0.0927922851485357</v>
      </c>
    </row>
    <row r="58" spans="2:13" ht="12.75">
      <c r="B58" s="19" t="s">
        <v>154</v>
      </c>
      <c r="C58" s="19" t="s">
        <v>191</v>
      </c>
      <c r="D58" s="19" t="s">
        <v>105</v>
      </c>
      <c r="E58" s="19" t="s">
        <v>18</v>
      </c>
      <c r="F58" s="51"/>
      <c r="G58" s="21">
        <f t="shared" si="0"/>
        <v>0</v>
      </c>
      <c r="H58" s="66"/>
      <c r="I58" s="21">
        <f t="shared" si="1"/>
        <v>0</v>
      </c>
      <c r="J58" s="66"/>
      <c r="K58" s="21">
        <f t="shared" si="2"/>
        <v>0</v>
      </c>
      <c r="L58" s="66"/>
      <c r="M58" s="20">
        <f t="shared" si="3"/>
        <v>0</v>
      </c>
    </row>
    <row r="59" spans="2:13" ht="12.75">
      <c r="B59" s="19" t="s">
        <v>155</v>
      </c>
      <c r="C59" s="19" t="s">
        <v>191</v>
      </c>
      <c r="D59" s="19" t="s">
        <v>105</v>
      </c>
      <c r="E59" s="19" t="s">
        <v>18</v>
      </c>
      <c r="F59" s="51"/>
      <c r="G59" s="20">
        <f t="shared" si="0"/>
        <v>0.026815494864766688</v>
      </c>
      <c r="H59" s="51"/>
      <c r="I59" s="20">
        <f t="shared" si="1"/>
        <v>0.02497055359246172</v>
      </c>
      <c r="J59" s="51"/>
      <c r="K59" s="20">
        <f t="shared" si="2"/>
        <v>0.027068471231415432</v>
      </c>
      <c r="L59" s="51"/>
      <c r="M59" s="20">
        <f t="shared" si="3"/>
        <v>0.026284839896214617</v>
      </c>
    </row>
    <row r="60" spans="2:13" ht="12.75">
      <c r="B60" s="19" t="s">
        <v>156</v>
      </c>
      <c r="C60" s="19" t="s">
        <v>191</v>
      </c>
      <c r="D60" s="19" t="s">
        <v>105</v>
      </c>
      <c r="E60" s="19" t="s">
        <v>18</v>
      </c>
      <c r="F60" s="51" t="s">
        <v>32</v>
      </c>
      <c r="G60" s="20">
        <f t="shared" si="0"/>
        <v>0.09246722367160927</v>
      </c>
      <c r="H60" s="51" t="s">
        <v>32</v>
      </c>
      <c r="I60" s="20">
        <f t="shared" si="1"/>
        <v>0.1413427561837456</v>
      </c>
      <c r="J60" s="51" t="s">
        <v>32</v>
      </c>
      <c r="K60" s="20">
        <f t="shared" si="2"/>
        <v>0.04666977798519902</v>
      </c>
      <c r="L60" s="51">
        <v>100</v>
      </c>
      <c r="M60" s="20">
        <f t="shared" si="3"/>
        <v>0.09349325261351794</v>
      </c>
    </row>
    <row r="61" spans="2:13" ht="12.75">
      <c r="B61" s="19" t="s">
        <v>178</v>
      </c>
      <c r="C61" s="19" t="s">
        <v>191</v>
      </c>
      <c r="D61" s="19" t="s">
        <v>105</v>
      </c>
      <c r="E61" s="19" t="s">
        <v>18</v>
      </c>
      <c r="F61" s="51"/>
      <c r="G61" s="20">
        <f t="shared" si="0"/>
        <v>0.508569730193851</v>
      </c>
      <c r="H61" s="51"/>
      <c r="I61" s="20">
        <f t="shared" si="1"/>
        <v>0.43816254416961126</v>
      </c>
      <c r="J61" s="51"/>
      <c r="K61" s="20">
        <f t="shared" si="2"/>
        <v>0.40136009067271156</v>
      </c>
      <c r="L61" s="51"/>
      <c r="M61" s="20">
        <f t="shared" si="3"/>
        <v>0.4493641216787246</v>
      </c>
    </row>
    <row r="62" spans="2:13" ht="13.5" customHeight="1">
      <c r="B62" s="19" t="s">
        <v>171</v>
      </c>
      <c r="C62" s="19" t="s">
        <v>191</v>
      </c>
      <c r="D62" s="19" t="s">
        <v>105</v>
      </c>
      <c r="E62" s="19" t="s">
        <v>18</v>
      </c>
      <c r="F62" s="51" t="s">
        <v>32</v>
      </c>
      <c r="G62" s="20">
        <f t="shared" si="0"/>
        <v>0.09246722367160927</v>
      </c>
      <c r="H62" s="51" t="s">
        <v>32</v>
      </c>
      <c r="I62" s="20">
        <f t="shared" si="1"/>
        <v>0.1413427561837456</v>
      </c>
      <c r="J62" s="51" t="s">
        <v>32</v>
      </c>
      <c r="K62" s="20">
        <f t="shared" si="2"/>
        <v>0.23334888992599512</v>
      </c>
      <c r="L62" s="51">
        <v>100</v>
      </c>
      <c r="M62" s="20">
        <f t="shared" si="3"/>
        <v>0.15571962326045</v>
      </c>
    </row>
    <row r="63" spans="2:13" ht="12.75">
      <c r="B63" s="19" t="s">
        <v>172</v>
      </c>
      <c r="C63" s="19" t="s">
        <v>191</v>
      </c>
      <c r="D63" s="19" t="s">
        <v>105</v>
      </c>
      <c r="E63" s="19" t="s">
        <v>18</v>
      </c>
      <c r="F63" s="51"/>
      <c r="G63" s="20">
        <f t="shared" si="0"/>
        <v>4.299725900729832</v>
      </c>
      <c r="H63" s="51"/>
      <c r="I63" s="20">
        <f t="shared" si="1"/>
        <v>3.345111896348645</v>
      </c>
      <c r="J63" s="51"/>
      <c r="K63" s="20">
        <f t="shared" si="2"/>
        <v>3.0802053470231354</v>
      </c>
      <c r="L63" s="51"/>
      <c r="M63" s="20">
        <f t="shared" si="3"/>
        <v>3.575014381367204</v>
      </c>
    </row>
    <row r="64" spans="2:13" ht="12.75">
      <c r="B64" s="19" t="s">
        <v>157</v>
      </c>
      <c r="C64" s="19" t="s">
        <v>191</v>
      </c>
      <c r="D64" s="19" t="s">
        <v>105</v>
      </c>
      <c r="E64" s="19" t="s">
        <v>18</v>
      </c>
      <c r="F64" s="51" t="s">
        <v>32</v>
      </c>
      <c r="G64" s="20">
        <f t="shared" si="0"/>
        <v>0.9246722367160928</v>
      </c>
      <c r="H64" s="51"/>
      <c r="I64" s="20">
        <f t="shared" si="1"/>
        <v>0.9422850412249706</v>
      </c>
      <c r="J64" s="51" t="s">
        <v>32</v>
      </c>
      <c r="K64" s="20">
        <f t="shared" si="2"/>
        <v>0.9333955597039805</v>
      </c>
      <c r="L64" s="66">
        <f>(G64+K64)/(3*M64)*100</f>
        <v>66.3512030142107</v>
      </c>
      <c r="M64" s="20">
        <f t="shared" si="3"/>
        <v>0.9334509458816812</v>
      </c>
    </row>
    <row r="65" spans="2:13" ht="12.75">
      <c r="B65" s="19" t="s">
        <v>173</v>
      </c>
      <c r="C65" s="19" t="s">
        <v>191</v>
      </c>
      <c r="D65" s="19" t="s">
        <v>105</v>
      </c>
      <c r="E65" s="19" t="s">
        <v>18</v>
      </c>
      <c r="F65" s="51"/>
      <c r="G65" s="20">
        <f t="shared" si="0"/>
        <v>17.106436379247715</v>
      </c>
      <c r="H65" s="51"/>
      <c r="I65" s="20">
        <f t="shared" si="1"/>
        <v>16.0188457008245</v>
      </c>
      <c r="J65" s="51"/>
      <c r="K65" s="20">
        <f t="shared" si="2"/>
        <v>21.93479565304354</v>
      </c>
      <c r="L65" s="51"/>
      <c r="M65" s="20">
        <f t="shared" si="3"/>
        <v>18.353359244371916</v>
      </c>
    </row>
    <row r="66" spans="2:13" ht="12.75">
      <c r="B66" s="19" t="s">
        <v>158</v>
      </c>
      <c r="C66" s="19" t="s">
        <v>191</v>
      </c>
      <c r="D66" s="19" t="s">
        <v>105</v>
      </c>
      <c r="E66" s="19" t="s">
        <v>18</v>
      </c>
      <c r="F66" s="51" t="s">
        <v>32</v>
      </c>
      <c r="G66" s="20">
        <f t="shared" si="0"/>
        <v>0.1387008355074139</v>
      </c>
      <c r="H66" s="51" t="s">
        <v>32</v>
      </c>
      <c r="I66" s="20">
        <f t="shared" si="1"/>
        <v>0.09422850412249706</v>
      </c>
      <c r="J66" s="51" t="s">
        <v>32</v>
      </c>
      <c r="K66" s="20">
        <f t="shared" si="2"/>
        <v>0.04666977798519902</v>
      </c>
      <c r="L66" s="51">
        <v>100</v>
      </c>
      <c r="M66" s="20">
        <f t="shared" si="3"/>
        <v>0.09319970587170333</v>
      </c>
    </row>
    <row r="67" spans="2:13" ht="12.75">
      <c r="B67" s="19" t="s">
        <v>174</v>
      </c>
      <c r="C67" s="19" t="s">
        <v>191</v>
      </c>
      <c r="D67" s="19" t="s">
        <v>105</v>
      </c>
      <c r="E67" s="19" t="s">
        <v>18</v>
      </c>
      <c r="F67" s="51" t="s">
        <v>32</v>
      </c>
      <c r="G67" s="20">
        <f t="shared" si="0"/>
        <v>3.236352828506325</v>
      </c>
      <c r="H67" s="51" t="s">
        <v>32</v>
      </c>
      <c r="I67" s="20">
        <f t="shared" si="1"/>
        <v>2.8268551236749113</v>
      </c>
      <c r="J67" s="51" t="s">
        <v>32</v>
      </c>
      <c r="K67" s="20">
        <f t="shared" si="2"/>
        <v>3.266884458963932</v>
      </c>
      <c r="L67" s="51">
        <v>100</v>
      </c>
      <c r="M67" s="20">
        <f t="shared" si="3"/>
        <v>3.110030803715056</v>
      </c>
    </row>
    <row r="68" spans="2:13" ht="12.75">
      <c r="B68" s="19" t="s">
        <v>159</v>
      </c>
      <c r="C68" s="19" t="s">
        <v>191</v>
      </c>
      <c r="D68" s="19" t="s">
        <v>105</v>
      </c>
      <c r="E68" s="19" t="s">
        <v>18</v>
      </c>
      <c r="F68" s="51" t="s">
        <v>32</v>
      </c>
      <c r="G68" s="20">
        <f t="shared" si="0"/>
        <v>0.4623361183580464</v>
      </c>
      <c r="H68" s="51" t="s">
        <v>32</v>
      </c>
      <c r="I68" s="20">
        <f t="shared" si="1"/>
        <v>0.4711425206124853</v>
      </c>
      <c r="J68" s="51" t="s">
        <v>32</v>
      </c>
      <c r="K68" s="20">
        <f t="shared" si="2"/>
        <v>0.46669777985199024</v>
      </c>
      <c r="L68" s="51">
        <v>100</v>
      </c>
      <c r="M68" s="20">
        <f t="shared" si="3"/>
        <v>0.4667254729408406</v>
      </c>
    </row>
    <row r="69" spans="2:13" ht="12.75">
      <c r="B69" s="19" t="s">
        <v>160</v>
      </c>
      <c r="C69" s="19" t="s">
        <v>191</v>
      </c>
      <c r="D69" s="19" t="s">
        <v>105</v>
      </c>
      <c r="E69" s="19" t="s">
        <v>18</v>
      </c>
      <c r="F69" s="51" t="s">
        <v>32</v>
      </c>
      <c r="G69" s="20">
        <f t="shared" si="0"/>
        <v>0.2774016710148278</v>
      </c>
      <c r="H69" s="51" t="s">
        <v>32</v>
      </c>
      <c r="I69" s="20">
        <f t="shared" si="1"/>
        <v>0.18845700824499412</v>
      </c>
      <c r="J69" s="51" t="s">
        <v>32</v>
      </c>
      <c r="K69" s="20">
        <f t="shared" si="2"/>
        <v>0.1866791119407961</v>
      </c>
      <c r="L69" s="51">
        <v>100</v>
      </c>
      <c r="M69" s="20">
        <f t="shared" si="3"/>
        <v>0.21751259706687268</v>
      </c>
    </row>
    <row r="70" spans="2:13" ht="12.75">
      <c r="B70" s="19" t="s">
        <v>161</v>
      </c>
      <c r="C70" s="19" t="s">
        <v>191</v>
      </c>
      <c r="D70" s="19" t="s">
        <v>105</v>
      </c>
      <c r="E70" s="19" t="s">
        <v>18</v>
      </c>
      <c r="F70" s="51" t="s">
        <v>32</v>
      </c>
      <c r="G70" s="20">
        <f t="shared" si="0"/>
        <v>0.03698688946864371</v>
      </c>
      <c r="H70" s="51" t="s">
        <v>32</v>
      </c>
      <c r="I70" s="20">
        <f t="shared" si="1"/>
        <v>0.037691401648998826</v>
      </c>
      <c r="J70" s="51" t="s">
        <v>32</v>
      </c>
      <c r="K70" s="20">
        <f t="shared" si="2"/>
        <v>0.03733582238815922</v>
      </c>
      <c r="L70" s="51">
        <v>100</v>
      </c>
      <c r="M70" s="20">
        <f t="shared" si="3"/>
        <v>0.037338037835267256</v>
      </c>
    </row>
    <row r="71" spans="2:13" ht="12.75">
      <c r="B71" s="19" t="s">
        <v>162</v>
      </c>
      <c r="C71" s="19" t="s">
        <v>191</v>
      </c>
      <c r="D71" s="19" t="s">
        <v>105</v>
      </c>
      <c r="E71" s="19" t="s">
        <v>18</v>
      </c>
      <c r="F71" s="51" t="s">
        <v>32</v>
      </c>
      <c r="G71" s="20">
        <f t="shared" si="0"/>
        <v>0.2774016710148278</v>
      </c>
      <c r="H71" s="51" t="s">
        <v>32</v>
      </c>
      <c r="I71" s="20">
        <f t="shared" si="1"/>
        <v>0.37691401648998824</v>
      </c>
      <c r="J71" s="51" t="s">
        <v>32</v>
      </c>
      <c r="K71" s="20">
        <f t="shared" si="2"/>
        <v>0.2800186679111941</v>
      </c>
      <c r="L71" s="51">
        <v>100</v>
      </c>
      <c r="M71" s="20">
        <f t="shared" si="3"/>
        <v>0.3114447851386701</v>
      </c>
    </row>
    <row r="72" spans="2:13" ht="12.75">
      <c r="B72" s="19" t="s">
        <v>175</v>
      </c>
      <c r="C72" s="19" t="s">
        <v>191</v>
      </c>
      <c r="D72" s="19" t="s">
        <v>105</v>
      </c>
      <c r="E72" s="19" t="s">
        <v>18</v>
      </c>
      <c r="F72" s="51" t="s">
        <v>32</v>
      </c>
      <c r="G72" s="20">
        <f t="shared" si="0"/>
        <v>0.2311680591790232</v>
      </c>
      <c r="H72" s="51" t="s">
        <v>32</v>
      </c>
      <c r="I72" s="20">
        <f t="shared" si="1"/>
        <v>0.23557126030624265</v>
      </c>
      <c r="J72" s="51" t="s">
        <v>32</v>
      </c>
      <c r="K72" s="20">
        <f t="shared" si="2"/>
        <v>0.23334888992599512</v>
      </c>
      <c r="L72" s="51">
        <v>100</v>
      </c>
      <c r="M72" s="20">
        <f t="shared" si="3"/>
        <v>0.2333627364704203</v>
      </c>
    </row>
    <row r="73" spans="2:13" ht="12.75">
      <c r="B73" s="19" t="s">
        <v>101</v>
      </c>
      <c r="C73" s="19" t="s">
        <v>191</v>
      </c>
      <c r="D73" s="19" t="s">
        <v>105</v>
      </c>
      <c r="E73" s="19" t="s">
        <v>18</v>
      </c>
      <c r="F73" s="51">
        <f>100</f>
        <v>100</v>
      </c>
      <c r="G73" s="20">
        <f>(G60+G64)</f>
        <v>1.017139460387702</v>
      </c>
      <c r="H73" s="21">
        <f>I60/I73*100</f>
        <v>13.043478260869565</v>
      </c>
      <c r="I73" s="20">
        <f>(I60+I64)</f>
        <v>1.0836277974087163</v>
      </c>
      <c r="J73" s="21">
        <v>100</v>
      </c>
      <c r="K73" s="20">
        <f>(K60+K64)</f>
        <v>0.9800653376891795</v>
      </c>
      <c r="L73" s="21">
        <f>(F73*G73+H73*I73+J73*K73)/(3*M73)</f>
        <v>69.4145977744549</v>
      </c>
      <c r="M73" s="20">
        <f t="shared" si="3"/>
        <v>1.0269441984951992</v>
      </c>
    </row>
    <row r="74" spans="2:13" ht="12.75">
      <c r="B74" s="19" t="s">
        <v>102</v>
      </c>
      <c r="C74" s="19" t="s">
        <v>191</v>
      </c>
      <c r="D74" s="19" t="s">
        <v>105</v>
      </c>
      <c r="E74" s="19" t="s">
        <v>18</v>
      </c>
      <c r="F74" s="51"/>
      <c r="G74" s="20">
        <f>(G57+G59+G61)</f>
        <v>0.5506423169644332</v>
      </c>
      <c r="H74" s="20"/>
      <c r="I74" s="20">
        <f>(I57+I59+I61)</f>
        <v>0.5022379269729093</v>
      </c>
      <c r="J74" s="20"/>
      <c r="K74" s="20">
        <f>(K57+K59+K61)</f>
        <v>0.6524434962330823</v>
      </c>
      <c r="L74" s="20"/>
      <c r="M74" s="20">
        <f t="shared" si="3"/>
        <v>0.5684412467234748</v>
      </c>
    </row>
    <row r="75" spans="2:13" ht="12.75">
      <c r="B75" s="19"/>
      <c r="C75" s="19"/>
      <c r="D75" s="19"/>
      <c r="E75" s="19"/>
      <c r="F75" s="51"/>
      <c r="G75" s="20"/>
      <c r="H75" s="51"/>
      <c r="I75" s="56"/>
      <c r="J75" s="51"/>
      <c r="K75" s="55"/>
      <c r="L75" s="51"/>
      <c r="M75" s="65"/>
    </row>
    <row r="76" spans="2:13" ht="12.75">
      <c r="B76" s="19"/>
      <c r="C76" s="19"/>
      <c r="D76" s="19"/>
      <c r="E76" s="19"/>
      <c r="F76" s="51"/>
      <c r="G76" s="20"/>
      <c r="H76" s="51"/>
      <c r="I76" s="56"/>
      <c r="J76" s="51"/>
      <c r="K76" s="55"/>
      <c r="L76" s="51"/>
      <c r="M76" s="65"/>
    </row>
    <row r="77" spans="2:15" ht="12.75">
      <c r="B77" s="57" t="s">
        <v>218</v>
      </c>
      <c r="C77" s="57" t="s">
        <v>225</v>
      </c>
      <c r="D77" s="19"/>
      <c r="E77" s="19"/>
      <c r="F77" s="19"/>
      <c r="G77" s="51" t="s">
        <v>203</v>
      </c>
      <c r="H77" s="51"/>
      <c r="I77" s="54" t="s">
        <v>204</v>
      </c>
      <c r="J77" s="51"/>
      <c r="K77" s="51" t="s">
        <v>205</v>
      </c>
      <c r="L77" s="51"/>
      <c r="M77" s="52" t="s">
        <v>51</v>
      </c>
      <c r="N77" s="52"/>
      <c r="O77" s="52"/>
    </row>
    <row r="78" spans="2:15" ht="12.75">
      <c r="B78" s="19"/>
      <c r="C78" s="19"/>
      <c r="D78" s="29"/>
      <c r="E78" s="29"/>
      <c r="F78" s="29"/>
      <c r="G78" s="29"/>
      <c r="H78" s="29"/>
      <c r="I78" s="64"/>
      <c r="J78" s="29"/>
      <c r="K78" s="29"/>
      <c r="L78" s="51"/>
      <c r="M78" s="62"/>
      <c r="N78" s="52"/>
      <c r="O78" s="52"/>
    </row>
    <row r="79" spans="2:15" ht="12.75">
      <c r="B79" s="19" t="s">
        <v>176</v>
      </c>
      <c r="C79" s="19" t="s">
        <v>191</v>
      </c>
      <c r="D79" s="19" t="s">
        <v>19</v>
      </c>
      <c r="E79" s="19"/>
      <c r="F79" s="19"/>
      <c r="G79" s="55">
        <v>14.84</v>
      </c>
      <c r="H79" s="51"/>
      <c r="I79" s="56">
        <v>13.06</v>
      </c>
      <c r="J79" s="51"/>
      <c r="K79" s="62">
        <v>13.48</v>
      </c>
      <c r="L79" s="51"/>
      <c r="M79" s="62">
        <f>AVERAGE(G79,I79,K79)</f>
        <v>13.793333333333331</v>
      </c>
      <c r="N79" s="52"/>
      <c r="O79" s="52"/>
    </row>
    <row r="80" spans="2:15" ht="12.75">
      <c r="B80" s="19" t="s">
        <v>177</v>
      </c>
      <c r="C80" s="19" t="s">
        <v>191</v>
      </c>
      <c r="D80" s="19" t="s">
        <v>19</v>
      </c>
      <c r="E80" s="19" t="s">
        <v>18</v>
      </c>
      <c r="F80" s="19"/>
      <c r="G80" s="55">
        <v>15.84</v>
      </c>
      <c r="H80" s="51"/>
      <c r="I80" s="56">
        <v>15.56</v>
      </c>
      <c r="J80" s="51"/>
      <c r="K80" s="62">
        <v>16.2</v>
      </c>
      <c r="L80" s="51"/>
      <c r="M80" s="62">
        <f>AVERAGE(G80,I80,K80)</f>
        <v>15.866666666666665</v>
      </c>
      <c r="N80" s="52"/>
      <c r="O80" s="52"/>
    </row>
    <row r="81" spans="2:15" ht="12.75">
      <c r="B81" s="19" t="s">
        <v>98</v>
      </c>
      <c r="C81" s="19" t="s">
        <v>191</v>
      </c>
      <c r="D81" s="19" t="s">
        <v>104</v>
      </c>
      <c r="E81" s="19" t="s">
        <v>18</v>
      </c>
      <c r="F81" s="19"/>
      <c r="G81" s="55">
        <v>0.006</v>
      </c>
      <c r="H81" s="51"/>
      <c r="I81" s="56">
        <v>0.002</v>
      </c>
      <c r="J81" s="51"/>
      <c r="K81" s="65">
        <v>0.006</v>
      </c>
      <c r="L81" s="51"/>
      <c r="M81" s="65">
        <f>AVERAGE(G81,I81,K81)</f>
        <v>0.004666666666666667</v>
      </c>
      <c r="N81" s="52"/>
      <c r="O81" s="52"/>
    </row>
    <row r="82" spans="2:15" ht="12.75">
      <c r="B82" s="19" t="s">
        <v>178</v>
      </c>
      <c r="C82" s="19"/>
      <c r="D82" s="19" t="s">
        <v>53</v>
      </c>
      <c r="E82" s="19"/>
      <c r="F82" s="19"/>
      <c r="G82" s="52">
        <v>0.155</v>
      </c>
      <c r="H82" s="51"/>
      <c r="I82" s="56">
        <v>0.006</v>
      </c>
      <c r="J82" s="51"/>
      <c r="K82" s="55">
        <v>0.256</v>
      </c>
      <c r="L82" s="51"/>
      <c r="M82" s="65">
        <v>0.139</v>
      </c>
      <c r="N82" s="52"/>
      <c r="O82" s="52"/>
    </row>
    <row r="83" spans="2:15" ht="12.75">
      <c r="B83" s="19" t="s">
        <v>99</v>
      </c>
      <c r="C83" s="19"/>
      <c r="D83" s="19" t="s">
        <v>53</v>
      </c>
      <c r="E83" s="19"/>
      <c r="F83" s="19"/>
      <c r="G83" s="89">
        <v>7.7</v>
      </c>
      <c r="H83" s="51"/>
      <c r="I83" s="53">
        <v>1.5</v>
      </c>
      <c r="J83" s="51"/>
      <c r="K83" s="52">
        <v>0.7</v>
      </c>
      <c r="L83" s="51"/>
      <c r="M83" s="62">
        <v>3.3</v>
      </c>
      <c r="N83" s="52"/>
      <c r="O83" s="52"/>
    </row>
    <row r="84" spans="2:15" ht="12.75">
      <c r="B84" s="19" t="s">
        <v>100</v>
      </c>
      <c r="C84" s="19"/>
      <c r="D84" s="19" t="s">
        <v>53</v>
      </c>
      <c r="E84" s="19"/>
      <c r="F84" s="19"/>
      <c r="G84" s="21">
        <v>6</v>
      </c>
      <c r="H84" s="51"/>
      <c r="I84" s="56">
        <v>3.7</v>
      </c>
      <c r="J84" s="51"/>
      <c r="K84" s="55">
        <v>1.5</v>
      </c>
      <c r="L84" s="51"/>
      <c r="M84" s="39">
        <v>3.7</v>
      </c>
      <c r="N84" s="52"/>
      <c r="O84" s="52"/>
    </row>
    <row r="85" spans="2:13" ht="12.75">
      <c r="B85" s="19"/>
      <c r="C85" s="19"/>
      <c r="D85" s="19"/>
      <c r="E85" s="19"/>
      <c r="F85" s="51"/>
      <c r="G85" s="55"/>
      <c r="H85" s="51"/>
      <c r="I85" s="56"/>
      <c r="J85" s="51"/>
      <c r="K85" s="55"/>
      <c r="L85" s="51"/>
      <c r="M85" s="52"/>
    </row>
    <row r="86" spans="2:13" ht="12.75">
      <c r="B86" s="19" t="s">
        <v>99</v>
      </c>
      <c r="C86" s="19" t="s">
        <v>191</v>
      </c>
      <c r="D86" s="19" t="s">
        <v>19</v>
      </c>
      <c r="E86" s="19" t="s">
        <v>18</v>
      </c>
      <c r="F86" s="51"/>
      <c r="G86" s="20">
        <f>G83/G94/0.0283/60*1000000*14/(21-G95)/1516</f>
        <v>0.40266931355624874</v>
      </c>
      <c r="H86" s="51"/>
      <c r="I86" s="20">
        <f>I83/I94/0.0283/60*1000000*14/(21-I95)/1516</f>
        <v>0.0784420740693991</v>
      </c>
      <c r="J86" s="51"/>
      <c r="K86" s="20">
        <f>K83/K94/0.0283/60*1000000*14/(21-K95)/1516</f>
        <v>0.036606301232386236</v>
      </c>
      <c r="L86" s="51"/>
      <c r="M86" s="58">
        <f>AVERAGE(G86,I86,K86)</f>
        <v>0.17257256295267806</v>
      </c>
    </row>
    <row r="87" spans="2:13" ht="12.75">
      <c r="B87" s="19" t="s">
        <v>100</v>
      </c>
      <c r="C87" s="19" t="s">
        <v>191</v>
      </c>
      <c r="D87" s="19" t="s">
        <v>19</v>
      </c>
      <c r="E87" s="19" t="s">
        <v>18</v>
      </c>
      <c r="F87" s="51"/>
      <c r="G87" s="20">
        <f>G84/G94/0.0283/60*1000000*14/(21-G95)/3000</f>
        <v>0.1585575790522787</v>
      </c>
      <c r="H87" s="51"/>
      <c r="I87" s="20">
        <f>I84/I94/0.0283/60*1000000*14/(21-I95)/3000</f>
        <v>0.09777717374890521</v>
      </c>
      <c r="J87" s="51"/>
      <c r="K87" s="20">
        <f>K84/K94/0.0283/60*1000000*14/(21-K95)/3000</f>
        <v>0.03963939476306968</v>
      </c>
      <c r="L87" s="51"/>
      <c r="M87" s="58">
        <f>AVERAGE(G87,I87,K87)</f>
        <v>0.09865804918808452</v>
      </c>
    </row>
    <row r="88" spans="2:13" ht="12.75">
      <c r="B88" s="5" t="s">
        <v>228</v>
      </c>
      <c r="C88" s="19" t="s">
        <v>191</v>
      </c>
      <c r="D88" s="19" t="s">
        <v>19</v>
      </c>
      <c r="E88" s="19" t="s">
        <v>18</v>
      </c>
      <c r="G88" s="92">
        <f>G86+2*G87</f>
        <v>0.7197844716608062</v>
      </c>
      <c r="I88" s="92">
        <f>I86+2*I87</f>
        <v>0.2739964215672095</v>
      </c>
      <c r="K88" s="92">
        <f>K86+2*K87</f>
        <v>0.1158850907585256</v>
      </c>
      <c r="M88" s="58">
        <f>AVERAGE(G88,I88,K88)</f>
        <v>0.36988866132884707</v>
      </c>
    </row>
    <row r="89" spans="2:13" ht="12.75">
      <c r="B89" s="5"/>
      <c r="C89" s="19"/>
      <c r="D89" s="19"/>
      <c r="E89" s="19"/>
      <c r="G89" s="92"/>
      <c r="I89" s="92"/>
      <c r="K89" s="92"/>
      <c r="M89" s="58"/>
    </row>
    <row r="90" spans="2:13" ht="12.75">
      <c r="B90" s="5" t="s">
        <v>178</v>
      </c>
      <c r="C90" s="19" t="s">
        <v>191</v>
      </c>
      <c r="D90" s="5" t="s">
        <v>107</v>
      </c>
      <c r="E90" s="5" t="s">
        <v>18</v>
      </c>
      <c r="G90" s="20">
        <f>G82/G94/0.0283/60*1000000*14/(21-G95)</f>
        <v>12.288212376551598</v>
      </c>
      <c r="I90" s="20">
        <f>I82/I94/0.0283/60*1000000*14/(21-I95)</f>
        <v>0.47567273715683617</v>
      </c>
      <c r="K90" s="20">
        <f>K82/K94/0.0283/60*1000000*14/(21-K95)</f>
        <v>20.295370118691675</v>
      </c>
      <c r="M90" s="58">
        <f>AVERAGE(G90,I90,K90)</f>
        <v>11.019751744133371</v>
      </c>
    </row>
    <row r="91" spans="2:15" ht="12.75">
      <c r="B91" s="5" t="s">
        <v>102</v>
      </c>
      <c r="C91" s="19" t="s">
        <v>191</v>
      </c>
      <c r="D91" s="5" t="s">
        <v>107</v>
      </c>
      <c r="E91" s="5" t="s">
        <v>18</v>
      </c>
      <c r="G91" s="20">
        <f>G90</f>
        <v>12.288212376551598</v>
      </c>
      <c r="I91" s="20">
        <f>I90</f>
        <v>0.47567273715683617</v>
      </c>
      <c r="K91" s="20">
        <f>K90</f>
        <v>20.295370118691675</v>
      </c>
      <c r="M91" s="20">
        <f>M90</f>
        <v>11.019751744133371</v>
      </c>
      <c r="O91" s="3" t="s">
        <v>234</v>
      </c>
    </row>
    <row r="92" spans="2:11" ht="12.75">
      <c r="B92" s="5"/>
      <c r="C92" s="19"/>
      <c r="G92" s="4"/>
      <c r="I92" s="14"/>
      <c r="K92" s="4"/>
    </row>
    <row r="93" spans="2:13" ht="12.75">
      <c r="B93" s="19" t="s">
        <v>179</v>
      </c>
      <c r="C93" s="19" t="s">
        <v>231</v>
      </c>
      <c r="D93" s="19" t="s">
        <v>191</v>
      </c>
      <c r="E93" s="3" t="s">
        <v>232</v>
      </c>
      <c r="F93" s="51"/>
      <c r="G93" s="55"/>
      <c r="H93" s="51"/>
      <c r="I93" s="56"/>
      <c r="J93" s="51"/>
      <c r="K93" s="55"/>
      <c r="L93" s="51"/>
      <c r="M93" s="62"/>
    </row>
    <row r="94" spans="2:13" ht="12.75">
      <c r="B94" s="19" t="s">
        <v>151</v>
      </c>
      <c r="C94" s="19"/>
      <c r="D94" s="19" t="s">
        <v>20</v>
      </c>
      <c r="E94" s="19"/>
      <c r="F94" s="51"/>
      <c r="G94" s="89">
        <v>10400</v>
      </c>
      <c r="H94" s="93"/>
      <c r="I94" s="89">
        <v>10400</v>
      </c>
      <c r="J94" s="93"/>
      <c r="K94" s="89">
        <v>10400</v>
      </c>
      <c r="L94" s="51"/>
      <c r="M94" s="62">
        <f>AVERAGE(G94,I94,K94)</f>
        <v>10400</v>
      </c>
    </row>
    <row r="95" spans="2:13" ht="12.75">
      <c r="B95" s="19" t="s">
        <v>169</v>
      </c>
      <c r="C95" s="19"/>
      <c r="D95" s="19" t="s">
        <v>21</v>
      </c>
      <c r="E95" s="19"/>
      <c r="F95" s="51"/>
      <c r="G95" s="89">
        <v>11</v>
      </c>
      <c r="H95" s="93"/>
      <c r="I95" s="89">
        <v>11</v>
      </c>
      <c r="J95" s="93"/>
      <c r="K95" s="89">
        <v>11</v>
      </c>
      <c r="L95" s="51"/>
      <c r="M95" s="62">
        <f>AVERAGE(G95,I95,K95)</f>
        <v>11</v>
      </c>
    </row>
    <row r="96" spans="2:11" ht="12.75">
      <c r="B96" s="5"/>
      <c r="C96" s="5"/>
      <c r="D96"/>
      <c r="E96"/>
      <c r="F96" s="18"/>
      <c r="G96"/>
      <c r="H96" s="18"/>
      <c r="I96" s="15"/>
      <c r="J96" s="18"/>
      <c r="K96"/>
    </row>
    <row r="97" spans="2:13" ht="12.75">
      <c r="B97" s="6" t="s">
        <v>223</v>
      </c>
      <c r="C97" s="5"/>
      <c r="G97" s="51" t="s">
        <v>203</v>
      </c>
      <c r="H97" s="51"/>
      <c r="I97" s="54" t="s">
        <v>204</v>
      </c>
      <c r="J97" s="51"/>
      <c r="K97" s="51" t="s">
        <v>205</v>
      </c>
      <c r="L97" s="51"/>
      <c r="M97" s="52" t="s">
        <v>51</v>
      </c>
    </row>
    <row r="98" spans="2:11" ht="12.75">
      <c r="B98" s="5"/>
      <c r="C98" s="5"/>
      <c r="G98" s="7"/>
      <c r="I98" s="12"/>
      <c r="K98" s="7"/>
    </row>
    <row r="99" spans="2:13" ht="12.75">
      <c r="B99" s="5" t="s">
        <v>176</v>
      </c>
      <c r="C99" s="5" t="s">
        <v>191</v>
      </c>
      <c r="D99" s="5" t="s">
        <v>19</v>
      </c>
      <c r="E99" s="5" t="s">
        <v>18</v>
      </c>
      <c r="G99" s="7">
        <v>29.1</v>
      </c>
      <c r="I99" s="12">
        <v>29.7</v>
      </c>
      <c r="K99" s="7">
        <v>27.4</v>
      </c>
      <c r="M99" s="62">
        <f>AVERAGE(G99,I99,K99)</f>
        <v>28.73333333333333</v>
      </c>
    </row>
    <row r="100" spans="2:13" ht="12.75">
      <c r="B100" s="5" t="s">
        <v>177</v>
      </c>
      <c r="C100" s="5" t="s">
        <v>191</v>
      </c>
      <c r="D100" s="5" t="s">
        <v>19</v>
      </c>
      <c r="E100" s="5" t="s">
        <v>18</v>
      </c>
      <c r="G100" s="7">
        <v>33.4</v>
      </c>
      <c r="I100" s="12">
        <v>30.7</v>
      </c>
      <c r="K100" s="7">
        <v>29.3</v>
      </c>
      <c r="M100" s="62">
        <f>AVERAGE(G100,I100,K100)</f>
        <v>31.13333333333333</v>
      </c>
    </row>
    <row r="101" spans="2:11" ht="12.75">
      <c r="B101" s="5"/>
      <c r="C101" s="5"/>
      <c r="G101" s="7"/>
      <c r="I101" s="12"/>
      <c r="K101" s="7"/>
    </row>
    <row r="102" spans="2:11" ht="12.75">
      <c r="B102" s="5"/>
      <c r="C102" s="5"/>
      <c r="G102" s="7"/>
      <c r="I102" s="12"/>
      <c r="K102" s="7"/>
    </row>
    <row r="103" spans="2:11" ht="12.75">
      <c r="B103" s="5"/>
      <c r="C103" s="5"/>
      <c r="G103" s="7"/>
      <c r="I103" s="12"/>
      <c r="K103" s="7"/>
    </row>
    <row r="104" spans="2:11" ht="12.75">
      <c r="B104" s="5"/>
      <c r="C104" s="5"/>
      <c r="G104" s="7"/>
      <c r="I104" s="12"/>
      <c r="K104" s="7"/>
    </row>
    <row r="105" spans="2:11" ht="12.75">
      <c r="B105" s="5"/>
      <c r="C105" s="5"/>
      <c r="G105" s="7"/>
      <c r="I105" s="12"/>
      <c r="J105" s="22"/>
      <c r="K105" s="7"/>
    </row>
    <row r="106" spans="2:11" ht="12.75">
      <c r="B106" s="5"/>
      <c r="C106" s="5"/>
      <c r="G106" s="7"/>
      <c r="I106" s="12"/>
      <c r="K106" s="7"/>
    </row>
    <row r="107" spans="2:11" ht="12.75">
      <c r="B107" s="5"/>
      <c r="C107" s="5"/>
      <c r="G107" s="7"/>
      <c r="I107" s="12"/>
      <c r="K107" s="7"/>
    </row>
    <row r="108" spans="2:11" ht="12.75">
      <c r="B108" s="5"/>
      <c r="C108" s="5"/>
      <c r="G108" s="7"/>
      <c r="I108" s="12"/>
      <c r="K108" s="7"/>
    </row>
    <row r="109" spans="2:3" ht="12.75">
      <c r="B109" s="5"/>
      <c r="C109" s="5"/>
    </row>
    <row r="110" spans="2:11" ht="12.75">
      <c r="B110" s="5"/>
      <c r="C110" s="5"/>
      <c r="G110" s="7"/>
      <c r="I110" s="12"/>
      <c r="K110" s="7"/>
    </row>
    <row r="111" spans="2:11" ht="12.75">
      <c r="B111" s="5"/>
      <c r="C111" s="5"/>
      <c r="G111" s="7"/>
      <c r="I111" s="12"/>
      <c r="J111" s="22"/>
      <c r="K111" s="7"/>
    </row>
    <row r="112" spans="2:11" ht="12.75">
      <c r="B112" s="5"/>
      <c r="C112" s="5"/>
      <c r="G112" s="7"/>
      <c r="I112" s="12"/>
      <c r="K112" s="7"/>
    </row>
    <row r="113" spans="2:11" ht="12.75">
      <c r="B113" s="5"/>
      <c r="C113" s="5"/>
      <c r="G113" s="7"/>
      <c r="I113" s="12"/>
      <c r="K113" s="7"/>
    </row>
    <row r="114" spans="2:11" ht="12.75">
      <c r="B114" s="5"/>
      <c r="C114" s="5"/>
      <c r="G114" s="7"/>
      <c r="I114" s="12"/>
      <c r="K114" s="7"/>
    </row>
    <row r="115" spans="7:11" ht="12.75">
      <c r="G115" s="11"/>
      <c r="K115" s="11"/>
    </row>
    <row r="117" spans="2:3" ht="12.75">
      <c r="B117" s="2"/>
      <c r="C117" s="2"/>
    </row>
    <row r="118" spans="2:3" ht="12.75">
      <c r="B118" s="5"/>
      <c r="C118" s="5"/>
    </row>
    <row r="119" spans="2:3" ht="12.75">
      <c r="B119" s="6"/>
      <c r="C119" s="6"/>
    </row>
    <row r="120" spans="2:3" ht="12.75">
      <c r="B120" s="5"/>
      <c r="C120" s="5"/>
    </row>
    <row r="121" spans="2:9" ht="12.75">
      <c r="B121" s="5"/>
      <c r="C121" s="5"/>
      <c r="G121" s="7"/>
      <c r="I121" s="12"/>
    </row>
    <row r="122" spans="2:9" ht="12.75">
      <c r="B122" s="5"/>
      <c r="C122" s="5"/>
      <c r="G122" s="7"/>
      <c r="I122" s="12"/>
    </row>
    <row r="123" spans="7:9" ht="12.75">
      <c r="G123" s="7"/>
      <c r="I123" s="12"/>
    </row>
    <row r="124" spans="2:11" ht="12.75">
      <c r="B124" s="5"/>
      <c r="C124" s="5"/>
      <c r="G124" s="7"/>
      <c r="I124" s="12"/>
      <c r="K124" s="7"/>
    </row>
    <row r="125" spans="7:9" ht="12.75">
      <c r="G125" s="7"/>
      <c r="I125" s="12"/>
    </row>
    <row r="126" spans="2:9" ht="12.75">
      <c r="B126" s="5"/>
      <c r="C126" s="5"/>
      <c r="G126" s="7"/>
      <c r="I126" s="12"/>
    </row>
    <row r="127" spans="2:9" ht="12.75">
      <c r="B127" s="5"/>
      <c r="C127" s="5"/>
      <c r="G127" s="7"/>
      <c r="I127" s="12"/>
    </row>
    <row r="128" spans="2:9" ht="12.75">
      <c r="B128" s="5"/>
      <c r="C128" s="5"/>
      <c r="G128" s="7"/>
      <c r="I128" s="12"/>
    </row>
    <row r="129" spans="2:9" ht="12.75">
      <c r="B129" s="5"/>
      <c r="C129" s="5"/>
      <c r="G129" s="7"/>
      <c r="I129" s="12"/>
    </row>
    <row r="130" spans="7:9" ht="12.75">
      <c r="G130" s="7"/>
      <c r="I130" s="12"/>
    </row>
    <row r="131" spans="2:11" ht="12.75">
      <c r="B131" s="2"/>
      <c r="C131" s="2"/>
      <c r="G131" s="4"/>
      <c r="I131" s="14"/>
      <c r="K131" s="4"/>
    </row>
    <row r="134" spans="7:11" ht="12.75">
      <c r="G134" s="11"/>
      <c r="K134" s="11"/>
    </row>
    <row r="135" spans="7:11" ht="12.75">
      <c r="G135" s="11"/>
      <c r="K135" s="11"/>
    </row>
    <row r="136" spans="7:11" ht="12.75">
      <c r="G136" s="11"/>
      <c r="K136" s="11"/>
    </row>
    <row r="137" spans="7:11" ht="12.75">
      <c r="G137" s="11"/>
      <c r="K137" s="11"/>
    </row>
    <row r="138" spans="7:11" ht="12.75">
      <c r="G138" s="11"/>
      <c r="K138" s="11"/>
    </row>
    <row r="139" spans="7:11" ht="12.75">
      <c r="G139" s="11"/>
      <c r="K139" s="11"/>
    </row>
    <row r="140" spans="7:11" ht="12.75">
      <c r="G140" s="11"/>
      <c r="K140" s="11"/>
    </row>
    <row r="141" spans="7:11" ht="12.75">
      <c r="G141" s="11"/>
      <c r="K141" s="11"/>
    </row>
    <row r="142" spans="7:11" ht="12.75">
      <c r="G142" s="11"/>
      <c r="K142" s="11"/>
    </row>
    <row r="143" spans="7:11" ht="12.75">
      <c r="G143" s="11"/>
      <c r="K143" s="11"/>
    </row>
    <row r="144" spans="7:11" ht="12.75">
      <c r="G144" s="11"/>
      <c r="K144" s="11"/>
    </row>
    <row r="145" spans="7:11" ht="12.75">
      <c r="G145" s="11"/>
      <c r="K145" s="11"/>
    </row>
    <row r="147" spans="7:11" ht="12.75">
      <c r="G147" s="11"/>
      <c r="K147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97"/>
  <sheetViews>
    <sheetView zoomScale="75" zoomScaleNormal="75" workbookViewId="0" topLeftCell="B59">
      <selection activeCell="A3" sqref="A3"/>
    </sheetView>
  </sheetViews>
  <sheetFormatPr defaultColWidth="9.140625" defaultRowHeight="12.75"/>
  <cols>
    <col min="1" max="1" width="9.140625" style="9" hidden="1" customWidth="1"/>
    <col min="2" max="2" width="22.140625" style="8" customWidth="1"/>
    <col min="3" max="3" width="8.8515625" style="8" customWidth="1"/>
    <col min="4" max="4" width="9.421875" style="8" customWidth="1"/>
    <col min="5" max="5" width="4.140625" style="9" bestFit="1" customWidth="1"/>
    <col min="6" max="6" width="10.421875" style="9" customWidth="1"/>
    <col min="7" max="7" width="4.7109375" style="9" customWidth="1"/>
    <col min="8" max="8" width="10.57421875" style="9" customWidth="1"/>
    <col min="9" max="9" width="4.00390625" style="9" customWidth="1"/>
    <col min="10" max="10" width="9.7109375" style="9" customWidth="1"/>
    <col min="11" max="11" width="4.00390625" style="9" customWidth="1"/>
    <col min="12" max="12" width="12.421875" style="10" customWidth="1"/>
    <col min="13" max="13" width="3.421875" style="10" customWidth="1"/>
    <col min="14" max="14" width="10.28125" style="10" customWidth="1"/>
    <col min="15" max="15" width="3.421875" style="10" customWidth="1"/>
    <col min="16" max="16" width="9.7109375" style="10" customWidth="1"/>
    <col min="17" max="17" width="3.421875" style="10" customWidth="1"/>
    <col min="18" max="18" width="9.57421875" style="10" customWidth="1"/>
    <col min="19" max="19" width="3.421875" style="10" customWidth="1"/>
    <col min="20" max="20" width="8.28125" style="9" customWidth="1"/>
    <col min="21" max="21" width="3.421875" style="9" customWidth="1"/>
    <col min="22" max="22" width="8.57421875" style="9" customWidth="1"/>
    <col min="23" max="23" width="3.421875" style="9" customWidth="1"/>
    <col min="24" max="24" width="8.421875" style="9" customWidth="1"/>
    <col min="25" max="25" width="3.421875" style="9" customWidth="1"/>
    <col min="26" max="26" width="11.421875" style="9" customWidth="1"/>
    <col min="27" max="27" width="3.421875" style="9" customWidth="1"/>
    <col min="28" max="28" width="11.8515625" style="9" customWidth="1"/>
    <col min="29" max="29" width="4.57421875" style="9" customWidth="1"/>
    <col min="30" max="30" width="10.140625" style="9" customWidth="1"/>
    <col min="31" max="31" width="4.140625" style="9" customWidth="1"/>
    <col min="32" max="32" width="10.7109375" style="9" customWidth="1"/>
    <col min="33" max="33" width="5.140625" style="9" customWidth="1"/>
    <col min="34" max="34" width="14.28125" style="9" customWidth="1"/>
    <col min="35" max="35" width="5.140625" style="9" customWidth="1"/>
    <col min="36" max="36" width="11.28125" style="9" customWidth="1"/>
    <col min="37" max="37" width="3.28125" style="9" customWidth="1"/>
    <col min="38" max="38" width="10.421875" style="9" customWidth="1"/>
    <col min="39" max="39" width="3.28125" style="9" customWidth="1"/>
    <col min="40" max="40" width="11.28125" style="9" customWidth="1"/>
    <col min="41" max="41" width="3.28125" style="9" customWidth="1"/>
    <col min="42" max="42" width="12.140625" style="9" customWidth="1"/>
    <col min="43" max="43" width="3.28125" style="9" customWidth="1"/>
    <col min="44" max="44" width="11.421875" style="9" customWidth="1"/>
    <col min="45" max="16384" width="8.8515625" style="9" customWidth="1"/>
  </cols>
  <sheetData>
    <row r="1" spans="2:44" ht="12.75">
      <c r="B1" s="43" t="s">
        <v>131</v>
      </c>
      <c r="C1" s="43"/>
      <c r="D1" s="23"/>
      <c r="E1" s="26"/>
      <c r="F1" s="26"/>
      <c r="G1" s="26"/>
      <c r="H1" s="26"/>
      <c r="I1" s="26"/>
      <c r="J1" s="26"/>
      <c r="K1" s="26"/>
      <c r="L1" s="44"/>
      <c r="M1" s="44"/>
      <c r="N1" s="44"/>
      <c r="O1" s="44"/>
      <c r="P1" s="44"/>
      <c r="Q1" s="44"/>
      <c r="R1" s="44"/>
      <c r="S1" s="44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2:44" ht="12.75">
      <c r="B2" s="43"/>
      <c r="C2" s="43"/>
      <c r="D2" s="23"/>
      <c r="E2" s="26"/>
      <c r="F2" s="26"/>
      <c r="G2" s="26"/>
      <c r="H2" s="26"/>
      <c r="I2" s="26"/>
      <c r="J2" s="26"/>
      <c r="K2" s="26"/>
      <c r="L2" s="44"/>
      <c r="M2" s="44"/>
      <c r="N2" s="44"/>
      <c r="O2" s="44"/>
      <c r="P2" s="44"/>
      <c r="Q2" s="44"/>
      <c r="R2" s="44"/>
      <c r="S2" s="44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2:44" ht="12.75">
      <c r="B3" s="23"/>
      <c r="C3" s="23"/>
      <c r="D3" s="23"/>
      <c r="E3" s="26"/>
      <c r="F3" s="26"/>
      <c r="G3" s="26"/>
      <c r="H3" s="26"/>
      <c r="I3" s="26"/>
      <c r="J3" s="26"/>
      <c r="K3" s="26"/>
      <c r="M3" s="44"/>
      <c r="N3" s="44"/>
      <c r="O3" s="44"/>
      <c r="P3" s="44"/>
      <c r="Q3" s="44"/>
      <c r="R3" s="44"/>
      <c r="S3" s="44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2.75">
      <c r="A4" s="9" t="s">
        <v>182</v>
      </c>
      <c r="B4" s="43" t="s">
        <v>114</v>
      </c>
      <c r="C4" s="43" t="s">
        <v>164</v>
      </c>
      <c r="D4" s="23"/>
      <c r="E4" s="26"/>
      <c r="F4" s="26" t="s">
        <v>203</v>
      </c>
      <c r="G4" s="26"/>
      <c r="H4" s="26" t="s">
        <v>204</v>
      </c>
      <c r="I4" s="26"/>
      <c r="J4" s="26" t="s">
        <v>205</v>
      </c>
      <c r="K4" s="26"/>
      <c r="L4" s="44" t="s">
        <v>51</v>
      </c>
      <c r="N4" s="26" t="s">
        <v>203</v>
      </c>
      <c r="O4" s="26"/>
      <c r="P4" s="26" t="s">
        <v>204</v>
      </c>
      <c r="Q4" s="26"/>
      <c r="R4" s="26" t="s">
        <v>205</v>
      </c>
      <c r="S4" s="26"/>
      <c r="T4" s="44" t="s">
        <v>51</v>
      </c>
      <c r="U4" s="26"/>
      <c r="V4" s="26" t="s">
        <v>203</v>
      </c>
      <c r="W4" s="26"/>
      <c r="X4" s="26" t="s">
        <v>204</v>
      </c>
      <c r="Y4" s="26"/>
      <c r="Z4" s="26" t="s">
        <v>205</v>
      </c>
      <c r="AA4" s="26"/>
      <c r="AB4" s="44" t="s">
        <v>51</v>
      </c>
      <c r="AC4" s="26"/>
      <c r="AD4" s="26" t="s">
        <v>203</v>
      </c>
      <c r="AE4" s="26"/>
      <c r="AF4" s="26" t="s">
        <v>204</v>
      </c>
      <c r="AG4" s="26"/>
      <c r="AH4" s="26" t="s">
        <v>205</v>
      </c>
      <c r="AI4" s="26"/>
      <c r="AJ4" s="44" t="s">
        <v>51</v>
      </c>
      <c r="AK4" s="26"/>
      <c r="AL4" s="26" t="s">
        <v>203</v>
      </c>
      <c r="AM4" s="26"/>
      <c r="AN4" s="26" t="s">
        <v>204</v>
      </c>
      <c r="AO4" s="26"/>
      <c r="AP4" s="26" t="s">
        <v>205</v>
      </c>
      <c r="AQ4" s="26"/>
      <c r="AR4" s="44" t="s">
        <v>51</v>
      </c>
    </row>
    <row r="5" spans="2:44" ht="12.75">
      <c r="B5" s="43"/>
      <c r="C5" s="43"/>
      <c r="D5" s="23"/>
      <c r="E5" s="26"/>
      <c r="F5" s="26"/>
      <c r="G5" s="26"/>
      <c r="H5" s="26"/>
      <c r="I5" s="26"/>
      <c r="J5" s="26"/>
      <c r="K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2:44" ht="12.75">
      <c r="B6" s="23" t="s">
        <v>206</v>
      </c>
      <c r="C6" s="43"/>
      <c r="D6" s="23"/>
      <c r="E6" s="26"/>
      <c r="F6" s="26" t="s">
        <v>208</v>
      </c>
      <c r="G6" s="26"/>
      <c r="H6" s="26" t="s">
        <v>208</v>
      </c>
      <c r="I6" s="26"/>
      <c r="J6" s="26" t="s">
        <v>208</v>
      </c>
      <c r="K6" s="26"/>
      <c r="L6" s="10" t="s">
        <v>208</v>
      </c>
      <c r="N6" s="10" t="s">
        <v>209</v>
      </c>
      <c r="P6" s="10" t="s">
        <v>209</v>
      </c>
      <c r="R6" s="10" t="s">
        <v>209</v>
      </c>
      <c r="T6" s="26" t="s">
        <v>209</v>
      </c>
      <c r="U6" s="26"/>
      <c r="V6" s="26" t="s">
        <v>210</v>
      </c>
      <c r="W6" s="26"/>
      <c r="X6" s="26" t="s">
        <v>210</v>
      </c>
      <c r="Y6" s="26"/>
      <c r="Z6" s="26" t="s">
        <v>210</v>
      </c>
      <c r="AA6" s="26"/>
      <c r="AB6" s="26" t="s">
        <v>210</v>
      </c>
      <c r="AC6" s="26"/>
      <c r="AD6" s="26" t="s">
        <v>211</v>
      </c>
      <c r="AE6" s="26"/>
      <c r="AF6" s="26" t="s">
        <v>211</v>
      </c>
      <c r="AG6" s="26"/>
      <c r="AH6" s="26" t="s">
        <v>211</v>
      </c>
      <c r="AI6" s="26"/>
      <c r="AJ6" s="26" t="s">
        <v>211</v>
      </c>
      <c r="AK6" s="26"/>
      <c r="AL6" s="26" t="s">
        <v>212</v>
      </c>
      <c r="AM6" s="26"/>
      <c r="AN6" s="26" t="s">
        <v>212</v>
      </c>
      <c r="AO6" s="26"/>
      <c r="AP6" s="26" t="s">
        <v>212</v>
      </c>
      <c r="AQ6" s="26"/>
      <c r="AR6" s="26" t="s">
        <v>212</v>
      </c>
    </row>
    <row r="7" spans="2:44" ht="12.75">
      <c r="B7" s="23" t="s">
        <v>207</v>
      </c>
      <c r="C7" s="23"/>
      <c r="D7" s="23"/>
      <c r="E7" s="26"/>
      <c r="F7" s="26" t="s">
        <v>213</v>
      </c>
      <c r="G7" s="26"/>
      <c r="H7" s="26" t="s">
        <v>213</v>
      </c>
      <c r="I7" s="26"/>
      <c r="J7" s="26" t="s">
        <v>213</v>
      </c>
      <c r="K7" s="26"/>
      <c r="L7" s="26" t="s">
        <v>213</v>
      </c>
      <c r="M7" s="44"/>
      <c r="N7" s="44" t="s">
        <v>214</v>
      </c>
      <c r="O7" s="44"/>
      <c r="P7" s="44" t="s">
        <v>214</v>
      </c>
      <c r="Q7" s="44"/>
      <c r="R7" s="44" t="s">
        <v>214</v>
      </c>
      <c r="S7" s="44"/>
      <c r="T7" s="44" t="s">
        <v>214</v>
      </c>
      <c r="U7" s="26"/>
      <c r="V7" s="26" t="s">
        <v>215</v>
      </c>
      <c r="W7" s="26"/>
      <c r="X7" s="26" t="s">
        <v>215</v>
      </c>
      <c r="Y7" s="26"/>
      <c r="Z7" s="26" t="s">
        <v>215</v>
      </c>
      <c r="AA7" s="26"/>
      <c r="AB7" s="26" t="s">
        <v>215</v>
      </c>
      <c r="AC7" s="26"/>
      <c r="AD7" s="44" t="s">
        <v>92</v>
      </c>
      <c r="AE7" s="32"/>
      <c r="AF7" s="44" t="s">
        <v>92</v>
      </c>
      <c r="AG7" s="32"/>
      <c r="AH7" s="44" t="s">
        <v>92</v>
      </c>
      <c r="AI7" s="32"/>
      <c r="AJ7" s="44" t="s">
        <v>92</v>
      </c>
      <c r="AK7" s="44"/>
      <c r="AL7" s="44" t="s">
        <v>28</v>
      </c>
      <c r="AM7" s="44"/>
      <c r="AN7" s="44" t="s">
        <v>28</v>
      </c>
      <c r="AO7" s="44"/>
      <c r="AP7" s="44" t="s">
        <v>28</v>
      </c>
      <c r="AQ7" s="44"/>
      <c r="AR7" s="44" t="s">
        <v>28</v>
      </c>
    </row>
    <row r="8" spans="2:44" ht="12.75">
      <c r="B8" s="23" t="s">
        <v>216</v>
      </c>
      <c r="C8" s="23"/>
      <c r="D8" s="23"/>
      <c r="E8" s="26"/>
      <c r="F8" s="52" t="s">
        <v>97</v>
      </c>
      <c r="G8" s="26"/>
      <c r="H8" s="52" t="s">
        <v>97</v>
      </c>
      <c r="I8" s="26"/>
      <c r="J8" s="52" t="s">
        <v>97</v>
      </c>
      <c r="K8" s="26"/>
      <c r="L8" s="7" t="s">
        <v>97</v>
      </c>
      <c r="M8" s="44"/>
      <c r="N8" s="44" t="s">
        <v>217</v>
      </c>
      <c r="O8" s="44"/>
      <c r="P8" s="44" t="s">
        <v>217</v>
      </c>
      <c r="Q8" s="44"/>
      <c r="R8" s="44" t="s">
        <v>217</v>
      </c>
      <c r="S8" s="44"/>
      <c r="T8" s="44" t="s">
        <v>217</v>
      </c>
      <c r="U8" s="26"/>
      <c r="V8" s="26"/>
      <c r="W8" s="26"/>
      <c r="X8" s="26"/>
      <c r="Y8" s="26"/>
      <c r="Z8" s="26"/>
      <c r="AA8" s="26"/>
      <c r="AB8" s="26"/>
      <c r="AC8" s="26"/>
      <c r="AD8" s="44" t="s">
        <v>92</v>
      </c>
      <c r="AE8" s="32"/>
      <c r="AF8" s="44" t="s">
        <v>92</v>
      </c>
      <c r="AG8" s="32"/>
      <c r="AH8" s="44" t="s">
        <v>92</v>
      </c>
      <c r="AI8" s="32"/>
      <c r="AJ8" s="44" t="s">
        <v>92</v>
      </c>
      <c r="AK8" s="44"/>
      <c r="AL8" s="44" t="s">
        <v>28</v>
      </c>
      <c r="AM8" s="44"/>
      <c r="AN8" s="44" t="s">
        <v>28</v>
      </c>
      <c r="AO8" s="44"/>
      <c r="AP8" s="44" t="s">
        <v>28</v>
      </c>
      <c r="AQ8" s="44"/>
      <c r="AR8" s="44" t="s">
        <v>28</v>
      </c>
    </row>
    <row r="9" spans="2:44" ht="12.75">
      <c r="B9" s="23" t="s">
        <v>52</v>
      </c>
      <c r="C9" s="23"/>
      <c r="D9" s="23"/>
      <c r="E9" s="26"/>
      <c r="F9" s="32" t="s">
        <v>81</v>
      </c>
      <c r="G9" s="26"/>
      <c r="H9" s="32" t="s">
        <v>81</v>
      </c>
      <c r="I9" s="26"/>
      <c r="J9" s="32" t="s">
        <v>81</v>
      </c>
      <c r="K9" s="26"/>
      <c r="L9" s="32" t="s">
        <v>81</v>
      </c>
      <c r="M9" s="32"/>
      <c r="N9" s="44" t="s">
        <v>82</v>
      </c>
      <c r="O9" s="32"/>
      <c r="P9" s="44" t="s">
        <v>82</v>
      </c>
      <c r="Q9" s="32"/>
      <c r="R9" s="44" t="s">
        <v>82</v>
      </c>
      <c r="S9" s="32"/>
      <c r="T9" s="44" t="s">
        <v>82</v>
      </c>
      <c r="U9" s="44"/>
      <c r="V9" s="32" t="s">
        <v>118</v>
      </c>
      <c r="W9" s="44"/>
      <c r="X9" s="32" t="s">
        <v>118</v>
      </c>
      <c r="Y9" s="44"/>
      <c r="Z9" s="32" t="s">
        <v>118</v>
      </c>
      <c r="AA9" s="44"/>
      <c r="AB9" s="32" t="s">
        <v>118</v>
      </c>
      <c r="AC9" s="32"/>
      <c r="AD9" s="44" t="s">
        <v>92</v>
      </c>
      <c r="AE9" s="32"/>
      <c r="AF9" s="44" t="s">
        <v>92</v>
      </c>
      <c r="AG9" s="32"/>
      <c r="AH9" s="44" t="s">
        <v>92</v>
      </c>
      <c r="AI9" s="32"/>
      <c r="AJ9" s="44" t="s">
        <v>92</v>
      </c>
      <c r="AK9" s="44"/>
      <c r="AL9" s="44" t="s">
        <v>28</v>
      </c>
      <c r="AM9" s="44"/>
      <c r="AN9" s="44" t="s">
        <v>28</v>
      </c>
      <c r="AO9" s="44"/>
      <c r="AP9" s="44" t="s">
        <v>28</v>
      </c>
      <c r="AQ9" s="44"/>
      <c r="AR9" s="44" t="s">
        <v>28</v>
      </c>
    </row>
    <row r="10" spans="2:44" ht="12.75">
      <c r="B10" s="23" t="s">
        <v>184</v>
      </c>
      <c r="C10" s="23"/>
      <c r="D10" s="23" t="s">
        <v>66</v>
      </c>
      <c r="E10" s="26"/>
      <c r="F10" s="26">
        <v>2080</v>
      </c>
      <c r="G10" s="26"/>
      <c r="H10" s="26">
        <v>2193</v>
      </c>
      <c r="I10" s="26"/>
      <c r="J10" s="26">
        <v>2290</v>
      </c>
      <c r="K10" s="26"/>
      <c r="L10" s="75">
        <v>2142</v>
      </c>
      <c r="M10" s="75"/>
      <c r="N10" s="36">
        <v>305</v>
      </c>
      <c r="O10" s="75"/>
      <c r="P10" s="36">
        <v>305</v>
      </c>
      <c r="Q10" s="75"/>
      <c r="R10" s="36">
        <v>305</v>
      </c>
      <c r="S10" s="75"/>
      <c r="T10" s="36">
        <v>305</v>
      </c>
      <c r="U10" s="36"/>
      <c r="V10" s="36">
        <v>76.9</v>
      </c>
      <c r="W10" s="36"/>
      <c r="X10" s="36">
        <v>76.9</v>
      </c>
      <c r="Y10" s="36"/>
      <c r="Z10" s="36">
        <v>76.9</v>
      </c>
      <c r="AA10" s="36"/>
      <c r="AB10" s="36">
        <v>76.9</v>
      </c>
      <c r="AC10" s="36"/>
      <c r="AD10" s="26">
        <v>45</v>
      </c>
      <c r="AE10" s="36"/>
      <c r="AF10" s="26">
        <v>45</v>
      </c>
      <c r="AG10" s="36"/>
      <c r="AH10" s="26">
        <v>45</v>
      </c>
      <c r="AI10" s="36"/>
      <c r="AJ10" s="26">
        <v>45</v>
      </c>
      <c r="AK10" s="26"/>
      <c r="AL10" s="26"/>
      <c r="AM10" s="26"/>
      <c r="AN10" s="26"/>
      <c r="AO10" s="26"/>
      <c r="AP10" s="26"/>
      <c r="AQ10" s="26"/>
      <c r="AR10" s="26"/>
    </row>
    <row r="11" spans="2:44" ht="12.75">
      <c r="B11" s="29" t="s">
        <v>183</v>
      </c>
      <c r="C11" s="29"/>
      <c r="D11" s="29" t="s">
        <v>69</v>
      </c>
      <c r="E11" s="26"/>
      <c r="F11" s="26">
        <v>22.1</v>
      </c>
      <c r="G11" s="26"/>
      <c r="H11" s="26">
        <v>23.3</v>
      </c>
      <c r="I11" s="26"/>
      <c r="J11" s="26">
        <v>24.4</v>
      </c>
      <c r="K11" s="26"/>
      <c r="L11" s="45">
        <v>23</v>
      </c>
      <c r="M11" s="45"/>
      <c r="N11" s="36"/>
      <c r="O11" s="45"/>
      <c r="P11" s="36"/>
      <c r="Q11" s="45"/>
      <c r="R11" s="36"/>
      <c r="S11" s="4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6"/>
      <c r="AE11" s="36"/>
      <c r="AF11" s="26"/>
      <c r="AG11" s="36"/>
      <c r="AH11" s="26"/>
      <c r="AI11" s="36"/>
      <c r="AJ11" s="26"/>
      <c r="AK11" s="26"/>
      <c r="AL11" s="26">
        <f>F11</f>
        <v>22.1</v>
      </c>
      <c r="AM11" s="26"/>
      <c r="AN11" s="26">
        <f>H11</f>
        <v>23.3</v>
      </c>
      <c r="AO11" s="26"/>
      <c r="AP11" s="26">
        <f>J11</f>
        <v>24.4</v>
      </c>
      <c r="AQ11" s="26"/>
      <c r="AR11" s="26">
        <f>L11</f>
        <v>23</v>
      </c>
    </row>
    <row r="12" spans="2:44" ht="12.75">
      <c r="B12" s="23" t="s">
        <v>58</v>
      </c>
      <c r="C12" s="23"/>
      <c r="D12" s="23" t="s">
        <v>59</v>
      </c>
      <c r="E12" s="26"/>
      <c r="F12" s="26">
        <v>0.2</v>
      </c>
      <c r="G12" s="26"/>
      <c r="H12" s="26">
        <v>0.2</v>
      </c>
      <c r="I12" s="26"/>
      <c r="J12" s="26">
        <v>0.2</v>
      </c>
      <c r="K12" s="26"/>
      <c r="L12" s="46">
        <v>0.2</v>
      </c>
      <c r="M12" s="46"/>
      <c r="N12" s="26"/>
      <c r="O12" s="46"/>
      <c r="P12" s="26"/>
      <c r="Q12" s="46"/>
      <c r="R12" s="26"/>
      <c r="S12" s="4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2:44" ht="12.75">
      <c r="B13" s="23" t="s">
        <v>54</v>
      </c>
      <c r="C13" s="23"/>
      <c r="D13" s="23" t="s">
        <v>55</v>
      </c>
      <c r="E13" s="26"/>
      <c r="F13" s="52">
        <v>10630</v>
      </c>
      <c r="G13" s="26"/>
      <c r="H13" s="52">
        <v>10640</v>
      </c>
      <c r="I13" s="26"/>
      <c r="J13" s="52">
        <v>10670</v>
      </c>
      <c r="K13" s="26"/>
      <c r="L13" s="24">
        <f>(10630+10640+10670)/3</f>
        <v>10646.666666666666</v>
      </c>
      <c r="M13" s="24"/>
      <c r="N13" s="26"/>
      <c r="O13" s="24"/>
      <c r="P13" s="26"/>
      <c r="Q13" s="24"/>
      <c r="R13" s="26"/>
      <c r="S13" s="2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2:44" ht="12.75">
      <c r="B14" s="23" t="s">
        <v>67</v>
      </c>
      <c r="C14" s="23"/>
      <c r="D14" s="23" t="s">
        <v>68</v>
      </c>
      <c r="E14" s="26"/>
      <c r="F14" s="52">
        <v>7.5</v>
      </c>
      <c r="G14" s="26"/>
      <c r="H14" s="52">
        <v>7.5</v>
      </c>
      <c r="I14" s="26"/>
      <c r="J14" s="52">
        <v>7.4</v>
      </c>
      <c r="K14" s="26"/>
      <c r="L14" s="24">
        <v>7.5</v>
      </c>
      <c r="M14" s="24"/>
      <c r="N14" s="26"/>
      <c r="O14" s="24"/>
      <c r="P14" s="26"/>
      <c r="Q14" s="24"/>
      <c r="R14" s="26"/>
      <c r="S14" s="24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ht="12.75">
      <c r="B15" s="23" t="s">
        <v>56</v>
      </c>
      <c r="C15" s="23"/>
      <c r="D15" s="23" t="s">
        <v>66</v>
      </c>
      <c r="E15" s="32"/>
      <c r="F15" s="44">
        <v>0.058</v>
      </c>
      <c r="G15" s="44"/>
      <c r="H15" s="44">
        <v>0.018</v>
      </c>
      <c r="I15" s="44"/>
      <c r="J15" s="44">
        <v>0.039</v>
      </c>
      <c r="K15" s="32"/>
      <c r="L15" s="46">
        <f>(0.058+0.018+0.039)/3</f>
        <v>0.03833333333333333</v>
      </c>
      <c r="M15" s="46"/>
      <c r="N15" s="44"/>
      <c r="O15" s="46"/>
      <c r="P15" s="44"/>
      <c r="Q15" s="46"/>
      <c r="R15" s="44"/>
      <c r="S15" s="46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2:44" ht="12.75">
      <c r="B16" s="23" t="s">
        <v>57</v>
      </c>
      <c r="C16" s="23"/>
      <c r="D16" s="23" t="s">
        <v>66</v>
      </c>
      <c r="E16" s="32"/>
      <c r="F16" s="44">
        <v>894</v>
      </c>
      <c r="G16" s="44"/>
      <c r="H16" s="44">
        <v>923</v>
      </c>
      <c r="I16" s="44"/>
      <c r="J16" s="44">
        <v>987</v>
      </c>
      <c r="K16" s="32"/>
      <c r="L16" s="24">
        <v>915</v>
      </c>
      <c r="M16" s="24"/>
      <c r="N16" s="44">
        <v>24</v>
      </c>
      <c r="O16" s="24"/>
      <c r="P16" s="44">
        <v>24</v>
      </c>
      <c r="Q16" s="24"/>
      <c r="R16" s="44">
        <v>24</v>
      </c>
      <c r="S16" s="24"/>
      <c r="T16" s="44">
        <v>24</v>
      </c>
      <c r="U16" s="44"/>
      <c r="V16" s="44"/>
      <c r="W16" s="44"/>
      <c r="X16" s="44"/>
      <c r="Y16" s="44"/>
      <c r="Z16" s="44"/>
      <c r="AA16" s="44"/>
      <c r="AB16" s="44"/>
      <c r="AC16" s="44"/>
      <c r="AD16" s="44">
        <v>14</v>
      </c>
      <c r="AE16" s="44"/>
      <c r="AF16" s="44">
        <v>14</v>
      </c>
      <c r="AG16" s="44"/>
      <c r="AH16" s="44">
        <v>14</v>
      </c>
      <c r="AI16" s="44"/>
      <c r="AJ16" s="44">
        <v>14</v>
      </c>
      <c r="AK16" s="44"/>
      <c r="AL16" s="44"/>
      <c r="AM16" s="44"/>
      <c r="AN16" s="44"/>
      <c r="AO16" s="44"/>
      <c r="AP16" s="44"/>
      <c r="AQ16" s="44"/>
      <c r="AR16" s="44"/>
    </row>
    <row r="17" spans="2:44" ht="12.75">
      <c r="B17" s="23"/>
      <c r="C17" s="23"/>
      <c r="D17" s="23"/>
      <c r="E17" s="26"/>
      <c r="F17" s="26"/>
      <c r="G17" s="26"/>
      <c r="H17" s="26"/>
      <c r="I17" s="26"/>
      <c r="J17" s="26"/>
      <c r="K17" s="26"/>
      <c r="L17" s="44"/>
      <c r="M17" s="44"/>
      <c r="N17" s="26"/>
      <c r="O17" s="44"/>
      <c r="P17" s="26"/>
      <c r="Q17" s="44"/>
      <c r="R17" s="26"/>
      <c r="S17" s="4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2:44" ht="12.75">
      <c r="B18" s="23" t="s">
        <v>109</v>
      </c>
      <c r="C18" s="23"/>
      <c r="D18" s="23" t="s">
        <v>20</v>
      </c>
      <c r="E18" s="26"/>
      <c r="F18" s="26">
        <f>emiss!G17</f>
        <v>10705</v>
      </c>
      <c r="G18" s="26"/>
      <c r="H18" s="26">
        <f>emiss!I17</f>
        <v>10705</v>
      </c>
      <c r="I18" s="26"/>
      <c r="J18" s="26">
        <f>emiss!K17</f>
        <v>10508</v>
      </c>
      <c r="K18" s="26"/>
      <c r="L18" s="36">
        <f>emiss!M17</f>
        <v>10639.333333333334</v>
      </c>
      <c r="M18" s="24"/>
      <c r="N18" s="26"/>
      <c r="O18" s="24"/>
      <c r="P18" s="26"/>
      <c r="Q18" s="24"/>
      <c r="R18" s="26"/>
      <c r="S18" s="24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2:44" ht="12.75">
      <c r="B19" s="23" t="s">
        <v>110</v>
      </c>
      <c r="C19" s="23"/>
      <c r="D19" s="23" t="s">
        <v>21</v>
      </c>
      <c r="E19" s="26"/>
      <c r="F19" s="26">
        <f>emiss!G18</f>
        <v>12.4</v>
      </c>
      <c r="G19" s="26"/>
      <c r="H19" s="26">
        <f>emiss!I18</f>
        <v>13.6</v>
      </c>
      <c r="I19" s="26"/>
      <c r="J19" s="26">
        <f>emiss!K18</f>
        <v>12.8</v>
      </c>
      <c r="K19" s="26"/>
      <c r="L19" s="36">
        <f>emiss!M18</f>
        <v>12.933333333333332</v>
      </c>
      <c r="M19" s="24"/>
      <c r="N19" s="26"/>
      <c r="O19" s="24"/>
      <c r="P19" s="26"/>
      <c r="Q19" s="24"/>
      <c r="R19" s="26"/>
      <c r="S19" s="24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2:44" ht="12.75">
      <c r="B20" s="23"/>
      <c r="C20" s="23"/>
      <c r="D20" s="23"/>
      <c r="E20" s="26"/>
      <c r="F20" s="26"/>
      <c r="G20" s="26"/>
      <c r="H20" s="26"/>
      <c r="I20" s="26"/>
      <c r="J20" s="26"/>
      <c r="K20" s="26"/>
      <c r="L20" s="44"/>
      <c r="M20" s="44"/>
      <c r="N20" s="26"/>
      <c r="O20" s="44"/>
      <c r="P20" s="26"/>
      <c r="Q20" s="44"/>
      <c r="R20" s="26"/>
      <c r="S20" s="4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2:44" ht="12.75">
      <c r="B21" s="23" t="s">
        <v>108</v>
      </c>
      <c r="C21" s="23"/>
      <c r="D21" s="23" t="s">
        <v>69</v>
      </c>
      <c r="E21" s="26"/>
      <c r="F21" s="26"/>
      <c r="G21" s="26"/>
      <c r="H21" s="26"/>
      <c r="I21" s="26"/>
      <c r="J21" s="26"/>
      <c r="K21" s="26"/>
      <c r="N21" s="26"/>
      <c r="P21" s="26"/>
      <c r="R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/>
      <c r="AE21"/>
      <c r="AF21"/>
      <c r="AG21"/>
      <c r="AH21"/>
      <c r="AI21"/>
      <c r="AJ21"/>
      <c r="AK21" s="26"/>
      <c r="AL21" s="24">
        <f>((F18/9000)*((21-F19)/21)*60)</f>
        <v>29.22634920634921</v>
      </c>
      <c r="AM21" s="26"/>
      <c r="AN21" s="24">
        <f>((H18/9000)*((21-H19)/21)*60)</f>
        <v>25.14825396825397</v>
      </c>
      <c r="AO21" s="26"/>
      <c r="AP21" s="24">
        <f>((J18/9000)*((21-J19)/21)*60)</f>
        <v>27.354158730158726</v>
      </c>
      <c r="AQ21" s="26"/>
      <c r="AR21" s="24">
        <f>((L18/9000)*((21-L19)/21)*60)</f>
        <v>27.24570017636685</v>
      </c>
    </row>
    <row r="22" spans="2:44" ht="12.75">
      <c r="B22" s="23"/>
      <c r="C22" s="23"/>
      <c r="D22" s="23"/>
      <c r="E22" s="26"/>
      <c r="F22" s="26"/>
      <c r="G22" s="26"/>
      <c r="H22" s="26"/>
      <c r="I22" s="26"/>
      <c r="J22" s="26"/>
      <c r="K22" s="26"/>
      <c r="N22" s="26"/>
      <c r="P22" s="26"/>
      <c r="R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4"/>
    </row>
    <row r="23" spans="2:44" ht="12.75">
      <c r="B23" s="80" t="s">
        <v>139</v>
      </c>
      <c r="C23" s="80"/>
      <c r="D23" s="23"/>
      <c r="E23" s="26"/>
      <c r="F23" s="26"/>
      <c r="G23" s="26"/>
      <c r="H23" s="26"/>
      <c r="I23" s="26"/>
      <c r="J23" s="26"/>
      <c r="K23" s="26"/>
      <c r="N23" s="26"/>
      <c r="P23" s="26"/>
      <c r="R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4"/>
    </row>
    <row r="24" spans="2:44" ht="12.75">
      <c r="B24" s="23" t="s">
        <v>56</v>
      </c>
      <c r="C24" s="23"/>
      <c r="D24" s="23" t="s">
        <v>106</v>
      </c>
      <c r="E24" s="26"/>
      <c r="F24" s="46">
        <f>F15*454/(60*0.0283*F18)*(14/(21-F19))*1000</f>
        <v>2.3582458199650165</v>
      </c>
      <c r="G24" s="26"/>
      <c r="H24" s="46">
        <f>H15*454/(60*0.0283*H18)*(14/(21-H19))*1000</f>
        <v>0.8505509154953041</v>
      </c>
      <c r="I24" s="26"/>
      <c r="J24" s="46">
        <f>J15*454/(60*0.0283*J18)*(14/(21-J19))*1000</f>
        <v>1.694247654799382</v>
      </c>
      <c r="K24" s="26"/>
      <c r="L24" s="46">
        <f>L15*454/(60*0.0283*L18)*(14/(21-L19))*1000</f>
        <v>1.6719152585238273</v>
      </c>
      <c r="M24" s="46"/>
      <c r="N24" s="26"/>
      <c r="O24" s="46"/>
      <c r="P24" s="26"/>
      <c r="Q24" s="46"/>
      <c r="R24" s="26"/>
      <c r="S24" s="4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4"/>
      <c r="AE24" s="26"/>
      <c r="AF24" s="24"/>
      <c r="AG24" s="26"/>
      <c r="AH24" s="24"/>
      <c r="AI24" s="26"/>
      <c r="AJ24" s="24"/>
      <c r="AK24" s="24"/>
      <c r="AL24" s="24">
        <f>SUM(AD24,V24,N24,F24)</f>
        <v>2.3582458199650165</v>
      </c>
      <c r="AM24" s="24"/>
      <c r="AN24" s="24">
        <f>SUM(AF24,X24,P24,H24)</f>
        <v>0.8505509154953041</v>
      </c>
      <c r="AO24" s="24"/>
      <c r="AP24" s="24">
        <f>SUM(AH24,Z24,R24,J24)</f>
        <v>1.694247654799382</v>
      </c>
      <c r="AQ24" s="24"/>
      <c r="AR24" s="24">
        <f>SUM(AJ24,AB24,T24,L24)</f>
        <v>1.6719152585238273</v>
      </c>
    </row>
    <row r="25" spans="2:44" ht="12.75">
      <c r="B25" s="23" t="s">
        <v>57</v>
      </c>
      <c r="C25" s="23"/>
      <c r="D25" s="23" t="s">
        <v>107</v>
      </c>
      <c r="E25" s="26"/>
      <c r="F25" s="25">
        <f>F16*454/(60*0.0283*F18)*(14/(21-F19))*1000000</f>
        <v>36349513.1560125</v>
      </c>
      <c r="G25" s="26"/>
      <c r="H25" s="25">
        <f>H16*454/(60*0.0283*H18)*(14/(21-H19))*1000000</f>
        <v>43614360.83345366</v>
      </c>
      <c r="I25" s="26"/>
      <c r="J25" s="25">
        <f>J16*454/(60*0.0283*J18)*(14/(21-J19))*1000000</f>
        <v>42877498.34069206</v>
      </c>
      <c r="K25" s="26"/>
      <c r="L25" s="25">
        <f>L16*454/(60*0.0283*L18)*(14/(21-L19))*1000000</f>
        <v>39907890.301286146</v>
      </c>
      <c r="M25" s="25"/>
      <c r="N25" s="25">
        <f>N16*454/(60*0.0283*F18)*(14/(21-F19))*1000000</f>
        <v>975825.8565372484</v>
      </c>
      <c r="O25" s="25"/>
      <c r="P25" s="25">
        <f>P16*454/(60*0.0283*H18)*(14/(21-H19))*1000000</f>
        <v>1134067.8873270724</v>
      </c>
      <c r="Q25" s="25"/>
      <c r="R25" s="25">
        <f>R16*454/(60*0.0283*J18)*(14/(21-J19))*1000000</f>
        <v>1042613.9414150044</v>
      </c>
      <c r="S25" s="25"/>
      <c r="T25" s="25">
        <f>T16*454/(60*0.0283*L18)*(14/(21-L19))*1000000</f>
        <v>1046764.3357714398</v>
      </c>
      <c r="U25" s="25"/>
      <c r="V25" s="25"/>
      <c r="W25" s="25"/>
      <c r="X25" s="25"/>
      <c r="Y25" s="25"/>
      <c r="Z25" s="25"/>
      <c r="AA25" s="25"/>
      <c r="AB25" s="37"/>
      <c r="AC25" s="37"/>
      <c r="AD25" s="25">
        <f>AD16*454/(60*0.0283*F18)*(14/(21-F19))*1000000</f>
        <v>569231.7496467282</v>
      </c>
      <c r="AE25" s="37"/>
      <c r="AF25" s="25">
        <f>AF16*454/(60*0.0283*H18)*(14/(21-H19))*1000000</f>
        <v>661539.6009407922</v>
      </c>
      <c r="AG25" s="37"/>
      <c r="AH25" s="25">
        <f>AH16*454/(60*0.0283*J18)*(14/(21-J19))*1000000</f>
        <v>608191.4658254193</v>
      </c>
      <c r="AI25" s="37"/>
      <c r="AJ25" s="25">
        <f>AJ16*454/(60*0.0283*L18)*(14/(21-L19))*1000000</f>
        <v>610612.5292000066</v>
      </c>
      <c r="AK25" s="25"/>
      <c r="AL25" s="24">
        <f>SUM(AD25,V25,N26,F25)</f>
        <v>36918744.90565923</v>
      </c>
      <c r="AM25" s="25"/>
      <c r="AN25" s="24">
        <f>SUM(AF25,X25,P26,H25)</f>
        <v>44275900.43439446</v>
      </c>
      <c r="AO25" s="25"/>
      <c r="AP25" s="24">
        <f>SUM(AH25,Z25,R26,J25)</f>
        <v>43485689.806517474</v>
      </c>
      <c r="AQ25" s="25"/>
      <c r="AR25" s="24">
        <f>SUM(AJ25,AB25,T26,L25)</f>
        <v>40518502.830486156</v>
      </c>
    </row>
    <row r="26" spans="2:44" ht="12.75">
      <c r="B26" s="23"/>
      <c r="C26" s="23"/>
      <c r="D26" s="23"/>
      <c r="E26" s="26"/>
      <c r="F26" s="26"/>
      <c r="G26" s="26"/>
      <c r="H26" s="26"/>
      <c r="I26" s="26"/>
      <c r="J26" s="26"/>
      <c r="K26" s="26"/>
      <c r="L26" s="44"/>
      <c r="M26" s="44"/>
      <c r="N26" s="44"/>
      <c r="O26" s="44"/>
      <c r="P26" s="44"/>
      <c r="Q26" s="44"/>
      <c r="R26" s="44"/>
      <c r="S26" s="44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9" t="s">
        <v>182</v>
      </c>
      <c r="B27" s="43" t="s">
        <v>84</v>
      </c>
      <c r="C27" s="43" t="s">
        <v>181</v>
      </c>
      <c r="D27" s="23"/>
      <c r="E27" s="32"/>
      <c r="F27" s="26" t="s">
        <v>203</v>
      </c>
      <c r="G27" s="26"/>
      <c r="H27" s="26" t="s">
        <v>204</v>
      </c>
      <c r="I27" s="26"/>
      <c r="J27" s="26" t="s">
        <v>205</v>
      </c>
      <c r="K27" s="26"/>
      <c r="L27" s="44" t="s">
        <v>51</v>
      </c>
      <c r="N27" s="26" t="s">
        <v>203</v>
      </c>
      <c r="O27" s="26"/>
      <c r="P27" s="26" t="s">
        <v>204</v>
      </c>
      <c r="Q27" s="26"/>
      <c r="R27" s="26" t="s">
        <v>205</v>
      </c>
      <c r="S27" s="26"/>
      <c r="T27" s="44" t="s">
        <v>51</v>
      </c>
      <c r="U27" s="26"/>
      <c r="V27" s="26" t="s">
        <v>203</v>
      </c>
      <c r="W27" s="26"/>
      <c r="X27" s="26" t="s">
        <v>204</v>
      </c>
      <c r="Y27" s="26"/>
      <c r="Z27" s="26" t="s">
        <v>205</v>
      </c>
      <c r="AA27" s="26"/>
      <c r="AB27" s="44" t="s">
        <v>51</v>
      </c>
      <c r="AC27" s="26"/>
      <c r="AD27" s="26" t="s">
        <v>203</v>
      </c>
      <c r="AE27" s="26"/>
      <c r="AF27" s="26" t="s">
        <v>204</v>
      </c>
      <c r="AG27" s="26"/>
      <c r="AH27" s="26" t="s">
        <v>205</v>
      </c>
      <c r="AI27" s="26"/>
      <c r="AJ27" s="44" t="s">
        <v>51</v>
      </c>
      <c r="AK27" s="26"/>
      <c r="AL27" s="26"/>
      <c r="AM27" s="26"/>
      <c r="AN27" s="26"/>
      <c r="AO27" s="26"/>
      <c r="AP27" s="26"/>
      <c r="AQ27" s="26"/>
      <c r="AR27" s="44"/>
    </row>
    <row r="28" spans="2:44" ht="12.75">
      <c r="B28" s="43"/>
      <c r="C28" s="43"/>
      <c r="D28" s="23"/>
      <c r="E28" s="32"/>
      <c r="F28" s="26"/>
      <c r="G28" s="26"/>
      <c r="H28" s="26"/>
      <c r="I28" s="26"/>
      <c r="J28" s="26"/>
      <c r="K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</row>
    <row r="29" spans="2:44" ht="12.75">
      <c r="B29" s="23" t="s">
        <v>206</v>
      </c>
      <c r="C29" s="43"/>
      <c r="D29" s="23"/>
      <c r="E29" s="32"/>
      <c r="F29" s="26" t="s">
        <v>208</v>
      </c>
      <c r="G29" s="26"/>
      <c r="H29" s="26" t="s">
        <v>208</v>
      </c>
      <c r="I29" s="26"/>
      <c r="J29" s="26" t="s">
        <v>208</v>
      </c>
      <c r="K29" s="26"/>
      <c r="L29" s="10" t="s">
        <v>208</v>
      </c>
      <c r="N29" s="10" t="s">
        <v>209</v>
      </c>
      <c r="P29" s="10" t="s">
        <v>209</v>
      </c>
      <c r="R29" s="10" t="s">
        <v>209</v>
      </c>
      <c r="T29" s="26" t="s">
        <v>209</v>
      </c>
      <c r="U29" s="26"/>
      <c r="V29" s="26" t="s">
        <v>210</v>
      </c>
      <c r="W29" s="26"/>
      <c r="X29" s="26" t="s">
        <v>210</v>
      </c>
      <c r="Y29" s="26"/>
      <c r="Z29" s="26" t="s">
        <v>210</v>
      </c>
      <c r="AA29" s="26"/>
      <c r="AB29" s="26" t="s">
        <v>210</v>
      </c>
      <c r="AC29" s="26"/>
      <c r="AD29" s="26" t="s">
        <v>211</v>
      </c>
      <c r="AE29" s="26"/>
      <c r="AF29" s="26" t="s">
        <v>211</v>
      </c>
      <c r="AG29" s="26"/>
      <c r="AH29" s="26" t="s">
        <v>211</v>
      </c>
      <c r="AI29" s="26"/>
      <c r="AJ29" s="26" t="s">
        <v>211</v>
      </c>
      <c r="AK29" s="26"/>
      <c r="AL29" s="26"/>
      <c r="AM29" s="26"/>
      <c r="AN29" s="26"/>
      <c r="AO29" s="26"/>
      <c r="AP29" s="26"/>
      <c r="AQ29" s="26"/>
      <c r="AR29" s="26"/>
    </row>
    <row r="30" spans="2:37" ht="12.75">
      <c r="B30" s="23" t="s">
        <v>207</v>
      </c>
      <c r="C30" s="23"/>
      <c r="D30" s="23"/>
      <c r="E30" s="32"/>
      <c r="F30" s="26" t="s">
        <v>213</v>
      </c>
      <c r="G30" s="26"/>
      <c r="H30" s="26" t="s">
        <v>213</v>
      </c>
      <c r="I30" s="26"/>
      <c r="J30" s="26" t="s">
        <v>213</v>
      </c>
      <c r="K30" s="26"/>
      <c r="L30" s="26" t="s">
        <v>213</v>
      </c>
      <c r="M30" s="44"/>
      <c r="N30" s="44" t="s">
        <v>214</v>
      </c>
      <c r="O30" s="44"/>
      <c r="P30" s="44" t="s">
        <v>214</v>
      </c>
      <c r="Q30" s="44"/>
      <c r="R30" s="44" t="s">
        <v>214</v>
      </c>
      <c r="S30" s="44"/>
      <c r="T30" s="44" t="s">
        <v>214</v>
      </c>
      <c r="U30" s="26"/>
      <c r="V30" s="26" t="s">
        <v>215</v>
      </c>
      <c r="W30" s="26"/>
      <c r="X30" s="26" t="s">
        <v>215</v>
      </c>
      <c r="Y30" s="26"/>
      <c r="Z30" s="26" t="s">
        <v>215</v>
      </c>
      <c r="AA30" s="26"/>
      <c r="AB30" s="26" t="s">
        <v>215</v>
      </c>
      <c r="AC30" s="26"/>
      <c r="AD30" s="44" t="s">
        <v>28</v>
      </c>
      <c r="AE30" s="44"/>
      <c r="AF30" s="44" t="s">
        <v>28</v>
      </c>
      <c r="AG30" s="44"/>
      <c r="AH30" s="44" t="s">
        <v>28</v>
      </c>
      <c r="AI30" s="44"/>
      <c r="AJ30" s="44" t="s">
        <v>28</v>
      </c>
      <c r="AK30" s="44"/>
    </row>
    <row r="31" spans="2:37" ht="12.75">
      <c r="B31" s="23" t="s">
        <v>216</v>
      </c>
      <c r="C31" s="23"/>
      <c r="D31" s="23"/>
      <c r="E31" s="26"/>
      <c r="F31" s="52" t="s">
        <v>97</v>
      </c>
      <c r="G31" s="26"/>
      <c r="H31" s="52" t="s">
        <v>97</v>
      </c>
      <c r="I31" s="26"/>
      <c r="J31" s="52" t="s">
        <v>97</v>
      </c>
      <c r="K31" s="26"/>
      <c r="L31" s="7" t="s">
        <v>97</v>
      </c>
      <c r="M31" s="44"/>
      <c r="N31" s="44" t="s">
        <v>217</v>
      </c>
      <c r="O31" s="44"/>
      <c r="P31" s="44" t="s">
        <v>217</v>
      </c>
      <c r="Q31" s="44"/>
      <c r="R31" s="44" t="s">
        <v>217</v>
      </c>
      <c r="S31" s="44"/>
      <c r="T31" s="44" t="s">
        <v>217</v>
      </c>
      <c r="U31" s="26"/>
      <c r="V31" s="26"/>
      <c r="W31" s="26"/>
      <c r="X31" s="26"/>
      <c r="Y31" s="26"/>
      <c r="Z31" s="26"/>
      <c r="AA31" s="26"/>
      <c r="AB31" s="26"/>
      <c r="AC31" s="26"/>
      <c r="AD31" s="44" t="s">
        <v>28</v>
      </c>
      <c r="AE31" s="44"/>
      <c r="AF31" s="44" t="s">
        <v>28</v>
      </c>
      <c r="AG31" s="44"/>
      <c r="AH31" s="44" t="s">
        <v>28</v>
      </c>
      <c r="AI31" s="44"/>
      <c r="AJ31" s="44" t="s">
        <v>28</v>
      </c>
      <c r="AK31" s="44"/>
    </row>
    <row r="32" spans="2:37" ht="12.75">
      <c r="B32" s="23" t="s">
        <v>52</v>
      </c>
      <c r="C32" s="23"/>
      <c r="D32" s="23"/>
      <c r="E32" s="26"/>
      <c r="F32" s="44" t="s">
        <v>81</v>
      </c>
      <c r="G32" s="26"/>
      <c r="H32" s="44" t="s">
        <v>81</v>
      </c>
      <c r="I32" s="26"/>
      <c r="J32" s="44" t="s">
        <v>81</v>
      </c>
      <c r="K32" s="26"/>
      <c r="L32" s="44" t="s">
        <v>81</v>
      </c>
      <c r="M32" s="44"/>
      <c r="N32" s="44" t="s">
        <v>82</v>
      </c>
      <c r="O32" s="44"/>
      <c r="P32" s="44" t="s">
        <v>82</v>
      </c>
      <c r="Q32" s="44"/>
      <c r="R32" s="44" t="s">
        <v>82</v>
      </c>
      <c r="S32" s="44"/>
      <c r="T32" s="44" t="s">
        <v>82</v>
      </c>
      <c r="U32" s="44"/>
      <c r="V32" s="44" t="s">
        <v>118</v>
      </c>
      <c r="W32" s="44"/>
      <c r="X32" s="44" t="s">
        <v>118</v>
      </c>
      <c r="Y32" s="44"/>
      <c r="Z32" s="44" t="s">
        <v>118</v>
      </c>
      <c r="AA32" s="44"/>
      <c r="AB32" s="44" t="s">
        <v>118</v>
      </c>
      <c r="AC32" s="44"/>
      <c r="AD32" s="44" t="s">
        <v>28</v>
      </c>
      <c r="AE32" s="44"/>
      <c r="AF32" s="44" t="s">
        <v>28</v>
      </c>
      <c r="AG32" s="44"/>
      <c r="AH32" s="44" t="s">
        <v>28</v>
      </c>
      <c r="AI32" s="44"/>
      <c r="AJ32" s="44" t="s">
        <v>28</v>
      </c>
      <c r="AK32" s="44"/>
    </row>
    <row r="33" spans="2:37" ht="12.75">
      <c r="B33" s="23" t="s">
        <v>184</v>
      </c>
      <c r="C33" s="23"/>
      <c r="D33" s="23" t="s">
        <v>66</v>
      </c>
      <c r="E33" s="26"/>
      <c r="F33" s="26">
        <v>3705</v>
      </c>
      <c r="G33" s="26"/>
      <c r="H33" s="26">
        <v>3685</v>
      </c>
      <c r="I33" s="26"/>
      <c r="J33" s="26">
        <v>3642</v>
      </c>
      <c r="K33" s="26"/>
      <c r="L33" s="24">
        <v>3678</v>
      </c>
      <c r="M33" s="24"/>
      <c r="N33" s="36">
        <v>282</v>
      </c>
      <c r="O33" s="24"/>
      <c r="P33" s="36">
        <v>282</v>
      </c>
      <c r="Q33" s="24"/>
      <c r="R33" s="36">
        <v>282</v>
      </c>
      <c r="S33" s="24"/>
      <c r="T33" s="36">
        <v>282</v>
      </c>
      <c r="U33" s="36"/>
      <c r="V33" s="36">
        <f>1700/24</f>
        <v>70.83333333333333</v>
      </c>
      <c r="W33" s="36"/>
      <c r="X33" s="36">
        <f>1700/24</f>
        <v>70.83333333333333</v>
      </c>
      <c r="Y33" s="36"/>
      <c r="Z33" s="36">
        <f>1700/24</f>
        <v>70.83333333333333</v>
      </c>
      <c r="AA33" s="36"/>
      <c r="AB33" s="36">
        <f>1700/24</f>
        <v>70.83333333333333</v>
      </c>
      <c r="AC33" s="36"/>
      <c r="AD33" s="26"/>
      <c r="AE33" s="26"/>
      <c r="AF33" s="26"/>
      <c r="AG33" s="26"/>
      <c r="AH33" s="26"/>
      <c r="AI33" s="26"/>
      <c r="AJ33" s="26"/>
      <c r="AK33" s="26"/>
    </row>
    <row r="34" spans="2:37" ht="12.75">
      <c r="B34" s="29" t="s">
        <v>183</v>
      </c>
      <c r="C34" s="29"/>
      <c r="D34" s="29" t="s">
        <v>69</v>
      </c>
      <c r="E34" s="26"/>
      <c r="F34" s="26">
        <v>34.8</v>
      </c>
      <c r="G34" s="26"/>
      <c r="H34" s="26">
        <v>35.2</v>
      </c>
      <c r="I34" s="26"/>
      <c r="J34" s="26">
        <v>34.7</v>
      </c>
      <c r="K34" s="26"/>
      <c r="L34" s="24">
        <v>38.4</v>
      </c>
      <c r="M34" s="24"/>
      <c r="N34" s="36"/>
      <c r="O34" s="24"/>
      <c r="P34" s="36"/>
      <c r="Q34" s="24"/>
      <c r="R34" s="36"/>
      <c r="S34" s="24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26">
        <f>F34</f>
        <v>34.8</v>
      </c>
      <c r="AE34" s="26"/>
      <c r="AF34" s="26">
        <f>H34</f>
        <v>35.2</v>
      </c>
      <c r="AG34" s="26"/>
      <c r="AH34" s="26">
        <f>J34</f>
        <v>34.7</v>
      </c>
      <c r="AI34" s="26"/>
      <c r="AJ34" s="26">
        <f>L34</f>
        <v>38.4</v>
      </c>
      <c r="AK34" s="26"/>
    </row>
    <row r="35" spans="2:37" ht="12.75">
      <c r="B35" s="23" t="s">
        <v>58</v>
      </c>
      <c r="C35" s="23"/>
      <c r="D35" s="23" t="s">
        <v>59</v>
      </c>
      <c r="E35" s="26"/>
      <c r="F35" s="26">
        <v>0.5</v>
      </c>
      <c r="G35" s="26"/>
      <c r="H35" s="26">
        <v>0.5</v>
      </c>
      <c r="I35" s="26"/>
      <c r="J35" s="26">
        <v>0.3</v>
      </c>
      <c r="K35" s="26"/>
      <c r="L35" s="44">
        <v>0.4</v>
      </c>
      <c r="M35" s="44"/>
      <c r="N35" s="26"/>
      <c r="O35" s="44"/>
      <c r="P35" s="26"/>
      <c r="Q35" s="44"/>
      <c r="R35" s="26"/>
      <c r="S35" s="44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2:37" ht="12.75">
      <c r="B36" s="23" t="s">
        <v>54</v>
      </c>
      <c r="C36" s="23"/>
      <c r="D36" s="23" t="s">
        <v>55</v>
      </c>
      <c r="E36" s="26"/>
      <c r="F36" s="52">
        <v>9380</v>
      </c>
      <c r="G36" s="26"/>
      <c r="H36" s="52">
        <v>9560</v>
      </c>
      <c r="I36" s="26"/>
      <c r="J36" s="52">
        <v>9520</v>
      </c>
      <c r="K36" s="26"/>
      <c r="L36" s="25">
        <f>(9380+9560+9520)/3</f>
        <v>9486.666666666666</v>
      </c>
      <c r="M36" s="25"/>
      <c r="N36" s="26"/>
      <c r="O36" s="25"/>
      <c r="P36" s="26"/>
      <c r="Q36" s="25"/>
      <c r="R36" s="26"/>
      <c r="S36" s="2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2:37" ht="12.75">
      <c r="B37" s="23" t="s">
        <v>67</v>
      </c>
      <c r="C37" s="23"/>
      <c r="D37" s="23" t="s">
        <v>68</v>
      </c>
      <c r="E37" s="26"/>
      <c r="F37" s="52">
        <v>8.3</v>
      </c>
      <c r="G37" s="26"/>
      <c r="H37" s="52">
        <v>8.3</v>
      </c>
      <c r="I37" s="26"/>
      <c r="J37" s="52">
        <v>8.2</v>
      </c>
      <c r="K37" s="26"/>
      <c r="L37" s="44">
        <v>8.3</v>
      </c>
      <c r="M37" s="44"/>
      <c r="N37" s="26"/>
      <c r="O37" s="44"/>
      <c r="P37" s="26"/>
      <c r="Q37" s="44"/>
      <c r="R37" s="26"/>
      <c r="S37" s="4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2:37" ht="12.75">
      <c r="B38" s="23" t="s">
        <v>56</v>
      </c>
      <c r="C38" s="23"/>
      <c r="D38" s="23" t="s">
        <v>66</v>
      </c>
      <c r="E38" s="26"/>
      <c r="F38" s="52">
        <v>0.25</v>
      </c>
      <c r="G38" s="26"/>
      <c r="H38" s="52">
        <v>0.19</v>
      </c>
      <c r="I38" s="26"/>
      <c r="J38" s="52">
        <v>0.21</v>
      </c>
      <c r="K38" s="26"/>
      <c r="L38" s="24">
        <f>(0.25+0.19+0.21)/3</f>
        <v>0.21666666666666667</v>
      </c>
      <c r="M38" s="24"/>
      <c r="N38" s="44"/>
      <c r="O38" s="24"/>
      <c r="P38" s="44"/>
      <c r="Q38" s="24"/>
      <c r="R38" s="44"/>
      <c r="S38" s="2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26"/>
      <c r="AE38" s="26"/>
      <c r="AF38" s="26"/>
      <c r="AG38" s="26"/>
      <c r="AH38" s="26"/>
      <c r="AI38" s="26"/>
      <c r="AJ38" s="26"/>
      <c r="AK38" s="26"/>
    </row>
    <row r="39" spans="2:37" ht="12.75">
      <c r="B39" s="23" t="s">
        <v>57</v>
      </c>
      <c r="C39" s="23"/>
      <c r="D39" s="23" t="s">
        <v>66</v>
      </c>
      <c r="E39" s="26"/>
      <c r="F39" s="52">
        <v>1800</v>
      </c>
      <c r="G39" s="26"/>
      <c r="H39" s="52">
        <v>1600</v>
      </c>
      <c r="I39" s="26"/>
      <c r="J39" s="52">
        <v>1600</v>
      </c>
      <c r="K39" s="26"/>
      <c r="L39" s="24">
        <v>1635</v>
      </c>
      <c r="M39" s="24"/>
      <c r="N39" s="36">
        <v>21</v>
      </c>
      <c r="O39" s="24"/>
      <c r="P39" s="36">
        <v>21</v>
      </c>
      <c r="Q39" s="24"/>
      <c r="R39" s="36">
        <v>21</v>
      </c>
      <c r="S39" s="24"/>
      <c r="T39" s="36">
        <v>21</v>
      </c>
      <c r="U39" s="36"/>
      <c r="V39" s="36"/>
      <c r="W39" s="36"/>
      <c r="X39" s="36"/>
      <c r="Y39" s="36"/>
      <c r="Z39" s="36"/>
      <c r="AA39" s="3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2:37" ht="12.75">
      <c r="B40" s="23" t="s">
        <v>152</v>
      </c>
      <c r="C40" s="23"/>
      <c r="D40" s="23" t="s">
        <v>53</v>
      </c>
      <c r="E40" s="26"/>
      <c r="F40" s="52">
        <v>0.06</v>
      </c>
      <c r="G40" s="26" t="s">
        <v>32</v>
      </c>
      <c r="H40" s="52">
        <v>0.04</v>
      </c>
      <c r="I40" s="26"/>
      <c r="J40" s="52">
        <v>0.29</v>
      </c>
      <c r="K40" s="26"/>
      <c r="L40" s="46">
        <v>0.13</v>
      </c>
      <c r="M40" s="46"/>
      <c r="N40" s="46"/>
      <c r="O40" s="46"/>
      <c r="P40" s="46"/>
      <c r="Q40" s="46"/>
      <c r="R40" s="46"/>
      <c r="S40" s="4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2:37" ht="12.75">
      <c r="B41" s="23" t="s">
        <v>153</v>
      </c>
      <c r="C41" s="23"/>
      <c r="D41" s="23" t="s">
        <v>53</v>
      </c>
      <c r="E41" s="26" t="s">
        <v>32</v>
      </c>
      <c r="F41" s="52">
        <v>0.05</v>
      </c>
      <c r="G41" s="26" t="s">
        <v>32</v>
      </c>
      <c r="H41" s="52">
        <v>0.05</v>
      </c>
      <c r="I41" s="26" t="s">
        <v>32</v>
      </c>
      <c r="J41" s="52">
        <v>0.05</v>
      </c>
      <c r="K41" s="26"/>
      <c r="L41" s="47">
        <v>0.05</v>
      </c>
      <c r="M41" s="47"/>
      <c r="N41" s="47"/>
      <c r="O41" s="47"/>
      <c r="P41" s="47"/>
      <c r="Q41" s="47"/>
      <c r="R41" s="47"/>
      <c r="S41" s="47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2:37" ht="12.75">
      <c r="B42" s="23" t="s">
        <v>154</v>
      </c>
      <c r="C42" s="23"/>
      <c r="D42" s="23" t="s">
        <v>53</v>
      </c>
      <c r="E42" s="32"/>
      <c r="F42" s="44">
        <v>0.051</v>
      </c>
      <c r="G42" s="32"/>
      <c r="H42" s="44">
        <v>0.016</v>
      </c>
      <c r="I42" s="32"/>
      <c r="J42" s="44">
        <v>0.0065</v>
      </c>
      <c r="K42" s="32"/>
      <c r="L42" s="47">
        <f>(0.051+0.016+0.0065)/3</f>
        <v>0.024500000000000004</v>
      </c>
      <c r="M42" s="47"/>
      <c r="N42" s="47"/>
      <c r="O42" s="47"/>
      <c r="P42" s="47"/>
      <c r="Q42" s="47"/>
      <c r="R42" s="47"/>
      <c r="S42" s="47"/>
      <c r="T42" s="48"/>
      <c r="U42" s="48"/>
      <c r="V42" s="48"/>
      <c r="W42" s="48"/>
      <c r="X42" s="48"/>
      <c r="Y42" s="48"/>
      <c r="Z42" s="48"/>
      <c r="AA42" s="48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2:37" ht="12.75">
      <c r="B43" s="23" t="s">
        <v>155</v>
      </c>
      <c r="C43" s="23"/>
      <c r="D43" s="23" t="s">
        <v>53</v>
      </c>
      <c r="E43" s="32" t="s">
        <v>32</v>
      </c>
      <c r="F43" s="44">
        <v>0.005</v>
      </c>
      <c r="G43" s="32" t="s">
        <v>32</v>
      </c>
      <c r="H43" s="44">
        <v>0.005</v>
      </c>
      <c r="I43" s="32" t="s">
        <v>32</v>
      </c>
      <c r="J43" s="44">
        <v>0.005</v>
      </c>
      <c r="K43" s="32"/>
      <c r="L43" s="48">
        <v>0.005</v>
      </c>
      <c r="M43" s="48"/>
      <c r="N43" s="48"/>
      <c r="O43" s="48"/>
      <c r="P43" s="48"/>
      <c r="Q43" s="48"/>
      <c r="R43" s="48"/>
      <c r="S43" s="48"/>
      <c r="T43" s="44"/>
      <c r="U43" s="44"/>
      <c r="V43" s="44"/>
      <c r="W43" s="44"/>
      <c r="X43" s="44"/>
      <c r="Y43" s="44"/>
      <c r="Z43" s="44"/>
      <c r="AA43" s="44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2:37" ht="12.75">
      <c r="B44" s="23" t="s">
        <v>156</v>
      </c>
      <c r="C44" s="23"/>
      <c r="D44" s="23" t="s">
        <v>53</v>
      </c>
      <c r="E44" s="32" t="s">
        <v>32</v>
      </c>
      <c r="F44" s="44">
        <v>0.03</v>
      </c>
      <c r="G44" s="32" t="s">
        <v>32</v>
      </c>
      <c r="H44" s="44">
        <v>0.03</v>
      </c>
      <c r="I44" s="32" t="s">
        <v>32</v>
      </c>
      <c r="J44" s="44">
        <v>0.03</v>
      </c>
      <c r="K44" s="32"/>
      <c r="L44" s="46">
        <v>0.03</v>
      </c>
      <c r="M44" s="46"/>
      <c r="N44" s="46"/>
      <c r="O44" s="46"/>
      <c r="P44" s="46"/>
      <c r="Q44" s="46"/>
      <c r="R44" s="46"/>
      <c r="S44" s="46"/>
      <c r="T44" s="48"/>
      <c r="U44" s="48"/>
      <c r="V44" s="48"/>
      <c r="W44" s="48"/>
      <c r="X44" s="48"/>
      <c r="Y44" s="48"/>
      <c r="Z44" s="48"/>
      <c r="AA44" s="48"/>
      <c r="AB44" s="44"/>
      <c r="AC44" s="44"/>
      <c r="AD44" s="26"/>
      <c r="AE44" s="26"/>
      <c r="AF44" s="26"/>
      <c r="AG44" s="26"/>
      <c r="AH44" s="26"/>
      <c r="AI44" s="26"/>
      <c r="AJ44" s="26"/>
      <c r="AK44" s="26"/>
    </row>
    <row r="45" spans="2:37" ht="12.75">
      <c r="B45" s="23" t="s">
        <v>178</v>
      </c>
      <c r="C45" s="23"/>
      <c r="D45" s="23" t="s">
        <v>53</v>
      </c>
      <c r="E45" s="26"/>
      <c r="F45" s="55">
        <v>0.17</v>
      </c>
      <c r="G45" s="26"/>
      <c r="H45" s="55">
        <v>0.074</v>
      </c>
      <c r="I45" s="26"/>
      <c r="J45" s="55">
        <v>0.06</v>
      </c>
      <c r="K45" s="26"/>
      <c r="L45" s="46">
        <f>(0.17+0.074+0.06)/3</f>
        <v>0.10133333333333333</v>
      </c>
      <c r="M45" s="46"/>
      <c r="N45" s="46"/>
      <c r="O45" s="46"/>
      <c r="P45" s="46"/>
      <c r="Q45" s="46"/>
      <c r="R45" s="46"/>
      <c r="S45" s="46"/>
      <c r="T45" s="48"/>
      <c r="U45" s="48"/>
      <c r="V45" s="48"/>
      <c r="W45" s="48"/>
      <c r="X45" s="48"/>
      <c r="Y45" s="48"/>
      <c r="Z45" s="48"/>
      <c r="AA45" s="48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2:37" ht="12.75">
      <c r="B46" s="23" t="s">
        <v>157</v>
      </c>
      <c r="C46" s="23"/>
      <c r="D46" s="23" t="s">
        <v>53</v>
      </c>
      <c r="E46" s="26"/>
      <c r="F46" s="55">
        <v>0.07</v>
      </c>
      <c r="G46" s="26" t="s">
        <v>32</v>
      </c>
      <c r="H46" s="55">
        <v>0.06</v>
      </c>
      <c r="I46" s="26"/>
      <c r="J46" s="55">
        <v>0.21</v>
      </c>
      <c r="K46" s="26"/>
      <c r="L46" s="46">
        <f>(0.07+0.03+0.21)/3</f>
        <v>0.10333333333333333</v>
      </c>
      <c r="M46" s="46"/>
      <c r="N46" s="46"/>
      <c r="O46" s="46"/>
      <c r="P46" s="46"/>
      <c r="Q46" s="46"/>
      <c r="R46" s="46"/>
      <c r="S46" s="46"/>
      <c r="T46" s="44"/>
      <c r="U46" s="44"/>
      <c r="V46" s="44"/>
      <c r="W46" s="44"/>
      <c r="X46" s="44"/>
      <c r="Y46" s="44"/>
      <c r="Z46" s="44"/>
      <c r="AA46" s="44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2:37" ht="12.75">
      <c r="B47" s="23" t="s">
        <v>158</v>
      </c>
      <c r="C47" s="23"/>
      <c r="D47" s="23" t="s">
        <v>53</v>
      </c>
      <c r="E47" s="26" t="s">
        <v>32</v>
      </c>
      <c r="F47" s="55">
        <v>0.1</v>
      </c>
      <c r="G47" s="26" t="s">
        <v>32</v>
      </c>
      <c r="H47" s="55">
        <v>0.08</v>
      </c>
      <c r="I47" s="26" t="s">
        <v>32</v>
      </c>
      <c r="J47" s="55">
        <v>0.1</v>
      </c>
      <c r="K47" s="26"/>
      <c r="L47" s="46">
        <f>(0.1+0.08+0.1)/3</f>
        <v>0.09333333333333334</v>
      </c>
      <c r="M47" s="46"/>
      <c r="N47" s="46"/>
      <c r="O47" s="46"/>
      <c r="P47" s="46"/>
      <c r="Q47" s="46"/>
      <c r="R47" s="46"/>
      <c r="S47" s="4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2:37" ht="12.75">
      <c r="B48" s="23" t="s">
        <v>159</v>
      </c>
      <c r="C48" s="23"/>
      <c r="D48" s="23" t="s">
        <v>53</v>
      </c>
      <c r="E48" s="26"/>
      <c r="F48" s="55">
        <v>0.27</v>
      </c>
      <c r="G48" s="26" t="s">
        <v>32</v>
      </c>
      <c r="H48" s="55">
        <v>0.2</v>
      </c>
      <c r="I48" s="26" t="s">
        <v>32</v>
      </c>
      <c r="J48" s="55">
        <v>0.2</v>
      </c>
      <c r="K48" s="26"/>
      <c r="L48" s="46">
        <f>(0.1+0.1+0.21)/3</f>
        <v>0.1366666666666667</v>
      </c>
      <c r="M48" s="46"/>
      <c r="N48" s="46"/>
      <c r="O48" s="46"/>
      <c r="P48" s="46"/>
      <c r="Q48" s="46"/>
      <c r="R48" s="46"/>
      <c r="S48" s="46"/>
      <c r="T48" s="38"/>
      <c r="U48" s="38"/>
      <c r="V48" s="38"/>
      <c r="W48" s="38"/>
      <c r="X48" s="38"/>
      <c r="Y48" s="38"/>
      <c r="Z48" s="38"/>
      <c r="AA48" s="38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2:37" ht="12.75">
      <c r="B49" s="23" t="s">
        <v>160</v>
      </c>
      <c r="C49" s="23"/>
      <c r="D49" s="23" t="s">
        <v>53</v>
      </c>
      <c r="E49" s="26" t="s">
        <v>32</v>
      </c>
      <c r="F49" s="55">
        <v>0.07</v>
      </c>
      <c r="G49" s="26" t="s">
        <v>32</v>
      </c>
      <c r="H49" s="55">
        <v>0.07</v>
      </c>
      <c r="I49" s="26" t="s">
        <v>32</v>
      </c>
      <c r="J49" s="55">
        <v>0.07</v>
      </c>
      <c r="K49" s="26"/>
      <c r="L49" s="48">
        <f>0.07</f>
        <v>0.07</v>
      </c>
      <c r="M49" s="48"/>
      <c r="N49" s="48"/>
      <c r="O49" s="48"/>
      <c r="P49" s="48"/>
      <c r="Q49" s="48"/>
      <c r="R49" s="48"/>
      <c r="S49" s="4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2:37" ht="12.75">
      <c r="B50" s="23" t="s">
        <v>161</v>
      </c>
      <c r="C50" s="23"/>
      <c r="D50" s="23" t="s">
        <v>53</v>
      </c>
      <c r="E50" s="26" t="s">
        <v>32</v>
      </c>
      <c r="F50" s="55">
        <v>0.009</v>
      </c>
      <c r="G50" s="26" t="s">
        <v>32</v>
      </c>
      <c r="H50" s="55">
        <v>0.009</v>
      </c>
      <c r="I50" s="26" t="s">
        <v>32</v>
      </c>
      <c r="J50" s="55">
        <v>0.009</v>
      </c>
      <c r="K50" s="26"/>
      <c r="L50" s="47">
        <v>0.009</v>
      </c>
      <c r="M50" s="47"/>
      <c r="N50" s="47"/>
      <c r="O50" s="47"/>
      <c r="P50" s="47"/>
      <c r="Q50" s="47"/>
      <c r="R50" s="47"/>
      <c r="S50" s="47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2:37" ht="12.75">
      <c r="B51" s="23" t="s">
        <v>162</v>
      </c>
      <c r="C51" s="23"/>
      <c r="D51" s="23" t="s">
        <v>53</v>
      </c>
      <c r="E51" s="26"/>
      <c r="F51" s="55">
        <v>0.077</v>
      </c>
      <c r="G51" s="44"/>
      <c r="H51" s="55">
        <v>0.2</v>
      </c>
      <c r="I51" s="44"/>
      <c r="J51" s="55">
        <v>0.14</v>
      </c>
      <c r="K51" s="26"/>
      <c r="L51" s="48">
        <f>(0.077+0.2+0.14)/3</f>
        <v>0.139</v>
      </c>
      <c r="M51" s="48"/>
      <c r="N51" s="48"/>
      <c r="O51" s="48"/>
      <c r="P51" s="48"/>
      <c r="Q51" s="48"/>
      <c r="R51" s="48"/>
      <c r="S51" s="48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2:37" ht="12.75">
      <c r="B52" s="23" t="s">
        <v>180</v>
      </c>
      <c r="C52" s="23"/>
      <c r="D52" s="23" t="s">
        <v>53</v>
      </c>
      <c r="E52" s="26"/>
      <c r="F52" s="55">
        <v>17</v>
      </c>
      <c r="G52" s="44"/>
      <c r="H52" s="55">
        <v>18</v>
      </c>
      <c r="I52" s="44"/>
      <c r="J52" s="55">
        <v>4.7</v>
      </c>
      <c r="K52" s="26"/>
      <c r="L52" s="46">
        <f>(17+18+4.7)/3</f>
        <v>13.233333333333334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4"/>
      <c r="AC52" s="44"/>
      <c r="AD52" s="26"/>
      <c r="AE52" s="26"/>
      <c r="AF52" s="26"/>
      <c r="AG52" s="26"/>
      <c r="AH52" s="26"/>
      <c r="AI52" s="26"/>
      <c r="AJ52" s="26"/>
      <c r="AK52" s="26"/>
    </row>
    <row r="53" spans="2:37" ht="12.75">
      <c r="B53" s="23"/>
      <c r="C53" s="23"/>
      <c r="D53" s="23"/>
      <c r="E53" s="26"/>
      <c r="F53" s="26"/>
      <c r="G53" s="26"/>
      <c r="H53" s="26"/>
      <c r="I53" s="26"/>
      <c r="J53" s="26"/>
      <c r="K53" s="26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2:37" ht="12.75">
      <c r="B54" s="23" t="s">
        <v>109</v>
      </c>
      <c r="C54" s="23"/>
      <c r="D54" s="23" t="s">
        <v>20</v>
      </c>
      <c r="E54" s="26"/>
      <c r="F54" s="36">
        <f>emiss!$G45</f>
        <v>10324</v>
      </c>
      <c r="G54" s="36"/>
      <c r="H54" s="36">
        <f>emiss!$I45</f>
        <v>10464</v>
      </c>
      <c r="I54" s="36"/>
      <c r="J54" s="36">
        <f>emiss!$K45</f>
        <v>10159</v>
      </c>
      <c r="K54" s="36"/>
      <c r="L54" s="36">
        <f>emiss!$M45</f>
        <v>10315.666666666666</v>
      </c>
      <c r="M54" s="24"/>
      <c r="N54" s="36">
        <f>emiss!$G45</f>
        <v>10324</v>
      </c>
      <c r="O54" s="36"/>
      <c r="P54" s="36">
        <f>emiss!$I45</f>
        <v>10464</v>
      </c>
      <c r="Q54" s="36"/>
      <c r="R54" s="36">
        <f>emiss!$K45</f>
        <v>10159</v>
      </c>
      <c r="S54" s="36"/>
      <c r="T54" s="36">
        <f>emiss!$M45</f>
        <v>10315.666666666666</v>
      </c>
      <c r="U54" s="44"/>
      <c r="V54" s="44"/>
      <c r="W54" s="44"/>
      <c r="X54" s="44"/>
      <c r="Y54" s="44"/>
      <c r="Z54" s="44"/>
      <c r="AA54" s="44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2:37" ht="12.75">
      <c r="B55" s="23" t="s">
        <v>110</v>
      </c>
      <c r="C55" s="23"/>
      <c r="D55" s="23" t="s">
        <v>21</v>
      </c>
      <c r="E55" s="26"/>
      <c r="F55" s="26">
        <f>emiss!G52</f>
        <v>10.3</v>
      </c>
      <c r="G55" s="26"/>
      <c r="H55" s="26">
        <f>emiss!I52</f>
        <v>10.5</v>
      </c>
      <c r="I55" s="26"/>
      <c r="J55" s="26">
        <f>emiss!K52</f>
        <v>10.4</v>
      </c>
      <c r="K55" s="26"/>
      <c r="L55" s="36">
        <f>emiss!M52</f>
        <v>10.4</v>
      </c>
      <c r="M55" s="44"/>
      <c r="N55" s="44">
        <v>10.3</v>
      </c>
      <c r="O55" s="44"/>
      <c r="P55" s="44">
        <v>10.5</v>
      </c>
      <c r="Q55" s="44"/>
      <c r="R55" s="44">
        <v>10.4</v>
      </c>
      <c r="S55" s="44"/>
      <c r="T55" s="26">
        <v>10.4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2:37" ht="14.25">
      <c r="B56" s="23"/>
      <c r="C56" s="23"/>
      <c r="D56" s="49"/>
      <c r="E56" s="26"/>
      <c r="F56" s="26"/>
      <c r="G56" s="26"/>
      <c r="H56" s="26"/>
      <c r="I56" s="26"/>
      <c r="J56" s="26"/>
      <c r="K56" s="26"/>
      <c r="L56" s="44"/>
      <c r="M56" s="44"/>
      <c r="N56" s="44"/>
      <c r="O56" s="44"/>
      <c r="P56" s="44"/>
      <c r="Q56" s="44"/>
      <c r="R56" s="44"/>
      <c r="S56" s="4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2:37" ht="12.75">
      <c r="B57" s="23" t="s">
        <v>108</v>
      </c>
      <c r="C57" s="23"/>
      <c r="D57" s="23" t="s">
        <v>69</v>
      </c>
      <c r="E57" s="26"/>
      <c r="G57" s="26"/>
      <c r="I57" s="26"/>
      <c r="K57" s="26"/>
      <c r="L57" s="9"/>
      <c r="M57" s="9"/>
      <c r="N57" s="9"/>
      <c r="O57" s="9"/>
      <c r="P57" s="9"/>
      <c r="Q57" s="9"/>
      <c r="R57" s="9"/>
      <c r="S57" s="9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4">
        <f>(L54/9000)*((21-L55)/21)*60</f>
        <v>34.71303703703704</v>
      </c>
      <c r="AK57" s="26"/>
    </row>
    <row r="58" spans="2:37" ht="12.75">
      <c r="B58" s="23"/>
      <c r="C58" s="23"/>
      <c r="D58" s="23"/>
      <c r="E58" s="26"/>
      <c r="G58" s="26"/>
      <c r="I58" s="26"/>
      <c r="K58" s="26"/>
      <c r="L58" s="9"/>
      <c r="M58" s="9"/>
      <c r="N58" s="9"/>
      <c r="O58" s="9"/>
      <c r="P58" s="9"/>
      <c r="Q58" s="9"/>
      <c r="R58" s="9"/>
      <c r="S58" s="9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4"/>
      <c r="AK58" s="26"/>
    </row>
    <row r="59" spans="2:37" ht="12.75">
      <c r="B59" s="80" t="s">
        <v>139</v>
      </c>
      <c r="C59" s="80"/>
      <c r="D59" s="23"/>
      <c r="E59" s="26"/>
      <c r="G59" s="26"/>
      <c r="I59" s="26"/>
      <c r="K59" s="26"/>
      <c r="L59" s="9"/>
      <c r="M59" s="9"/>
      <c r="N59" s="9"/>
      <c r="O59" s="9"/>
      <c r="P59" s="9"/>
      <c r="Q59" s="9"/>
      <c r="R59" s="9"/>
      <c r="S59" s="9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4"/>
      <c r="AK59" s="26"/>
    </row>
    <row r="60" spans="2:37" ht="12.75">
      <c r="B60" s="23" t="s">
        <v>56</v>
      </c>
      <c r="C60" s="23"/>
      <c r="D60" s="23" t="s">
        <v>106</v>
      </c>
      <c r="E60" s="26"/>
      <c r="F60" s="24">
        <f>(F38*454/(F54*60*0.0283))*((21-7)/(21-F55))*1000</f>
        <v>8.47138535348674</v>
      </c>
      <c r="G60" s="26"/>
      <c r="H60" s="24">
        <f>(H38*454/(H54*60*0.0283))*((21-7)/(21-H55))*1000</f>
        <v>6.473106815117384</v>
      </c>
      <c r="I60" s="26"/>
      <c r="J60" s="24">
        <f>(J38*454/(J54*60*0.0283))*((21-7)/(21-J55))*1000</f>
        <v>7.299761513779037</v>
      </c>
      <c r="K60" s="26"/>
      <c r="L60" s="24">
        <f>(L38*454/(L54*60*0.0283))*((21-7)/(21-L55))*1000</f>
        <v>7.417117159138868</v>
      </c>
      <c r="M60" s="24"/>
      <c r="N60" s="24"/>
      <c r="O60" s="24"/>
      <c r="P60" s="24"/>
      <c r="Q60" s="24"/>
      <c r="R60" s="24"/>
      <c r="S60" s="24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36">
        <f>SUM(N60,F60)</f>
        <v>8.47138535348674</v>
      </c>
      <c r="AE60" s="26"/>
      <c r="AF60" s="36">
        <f>SUM(P60,H60)</f>
        <v>6.473106815117384</v>
      </c>
      <c r="AG60" s="26"/>
      <c r="AH60" s="36">
        <f>SUM(R60,J60)</f>
        <v>7.299761513779037</v>
      </c>
      <c r="AI60" s="26"/>
      <c r="AJ60" s="36">
        <f>SUM(T60,L60)</f>
        <v>7.417117159138868</v>
      </c>
      <c r="AK60" s="26"/>
    </row>
    <row r="61" spans="2:37" ht="12.75">
      <c r="B61" s="23" t="s">
        <v>57</v>
      </c>
      <c r="C61" s="23"/>
      <c r="D61" s="23" t="s">
        <v>107</v>
      </c>
      <c r="E61" s="26"/>
      <c r="F61" s="25">
        <f>(F39*454/(F$54*60*0.0283))*(14/(21-F$55))*1000000</f>
        <v>60993974.545104526</v>
      </c>
      <c r="G61" s="26"/>
      <c r="H61" s="25">
        <f>(H39*454/(H$54*60*0.0283))*(14/(21-H$55))*1000000</f>
        <v>54510373.17993586</v>
      </c>
      <c r="I61" s="26"/>
      <c r="J61" s="25">
        <f>(J39*454/(J$54*60*0.0283))*(14/(21-J$55))*1000000</f>
        <v>55617230.58117361</v>
      </c>
      <c r="K61" s="26"/>
      <c r="L61" s="25">
        <f>(L39*454/(L$54*60*0.0283))*(14/(21-L$55))*1000000</f>
        <v>55970707.177809455</v>
      </c>
      <c r="M61" s="25"/>
      <c r="N61" s="25">
        <f>(N39*454/(F$54*60*0.0283))*(14/(21-F$55))*1000000</f>
        <v>711596.3696928862</v>
      </c>
      <c r="O61" s="25"/>
      <c r="P61" s="25">
        <f>(P39*454/(H$54*60*0.0283))*(14/(21-H$55))*1000000</f>
        <v>715448.647986658</v>
      </c>
      <c r="Q61" s="25"/>
      <c r="R61" s="25">
        <f>(R39*454/(J$54*60*0.0283))*(14/(21-J$55))*1000000</f>
        <v>729976.1513779039</v>
      </c>
      <c r="S61" s="25"/>
      <c r="T61" s="25">
        <f>(T39*454/(L$54*60*0.0283))*(14/(21-L$55))*1000000</f>
        <v>718889.8169626902</v>
      </c>
      <c r="U61" s="25"/>
      <c r="V61" s="25"/>
      <c r="W61" s="25"/>
      <c r="X61" s="25"/>
      <c r="Y61" s="25"/>
      <c r="Z61" s="25"/>
      <c r="AA61" s="25"/>
      <c r="AB61" s="26"/>
      <c r="AC61" s="26"/>
      <c r="AD61" s="36">
        <f>SUM(N61,F61)</f>
        <v>61705570.91479741</v>
      </c>
      <c r="AE61" s="26"/>
      <c r="AF61" s="36">
        <f>SUM(P61,H61)</f>
        <v>55225821.827922516</v>
      </c>
      <c r="AG61" s="26"/>
      <c r="AH61" s="36">
        <f>SUM(R61,J61)</f>
        <v>56347206.732551515</v>
      </c>
      <c r="AI61" s="26"/>
      <c r="AJ61" s="36">
        <f>SUM(T61,L61)</f>
        <v>56689596.99477214</v>
      </c>
      <c r="AK61" s="26"/>
    </row>
    <row r="62" spans="2:37" ht="12.75">
      <c r="B62" s="23" t="s">
        <v>152</v>
      </c>
      <c r="C62" s="23"/>
      <c r="D62" s="23" t="s">
        <v>107</v>
      </c>
      <c r="E62" s="26"/>
      <c r="F62" s="24">
        <f>(F40/(F$54*60*0.0283))*(14/(21-F$55))*1000000</f>
        <v>4.478265385103123</v>
      </c>
      <c r="G62" s="26"/>
      <c r="H62" s="24">
        <f>(H40/(H$54*60*0.0283))*(14/(21-H$55))*1000000</f>
        <v>3.001672531934794</v>
      </c>
      <c r="I62" s="26"/>
      <c r="J62" s="24">
        <f aca="true" t="shared" si="0" ref="J62:J74">(J40/(J$54*60*0.0283))*(14/(21-J$55))*1000000</f>
        <v>22.20401551285841</v>
      </c>
      <c r="K62" s="26"/>
      <c r="L62" s="24">
        <f>(L40/(L$54*60*0.0283))*(14/(21-L$55))*1000000</f>
        <v>9.80235747903815</v>
      </c>
      <c r="M62" s="24"/>
      <c r="N62" s="24"/>
      <c r="O62" s="24"/>
      <c r="P62" s="24"/>
      <c r="Q62" s="24"/>
      <c r="R62" s="24"/>
      <c r="S62" s="24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36">
        <f aca="true" t="shared" si="1" ref="AD62:AD74">SUM(N62,F62)</f>
        <v>4.478265385103123</v>
      </c>
      <c r="AE62" s="26"/>
      <c r="AF62" s="36">
        <f aca="true" t="shared" si="2" ref="AF62:AF74">SUM(P62,H62)</f>
        <v>3.001672531934794</v>
      </c>
      <c r="AG62" s="26"/>
      <c r="AH62" s="36">
        <f aca="true" t="shared" si="3" ref="AH62:AH74">SUM(R62,J62)</f>
        <v>22.20401551285841</v>
      </c>
      <c r="AI62" s="26"/>
      <c r="AJ62" s="36">
        <f aca="true" t="shared" si="4" ref="AJ62:AJ74">SUM(T62,L62)</f>
        <v>9.80235747903815</v>
      </c>
      <c r="AK62" s="26"/>
    </row>
    <row r="63" spans="2:37" ht="12.75">
      <c r="B63" s="23" t="s">
        <v>153</v>
      </c>
      <c r="C63" s="23"/>
      <c r="D63" s="23" t="s">
        <v>107</v>
      </c>
      <c r="E63" s="26">
        <v>100</v>
      </c>
      <c r="F63" s="24">
        <f aca="true" t="shared" si="5" ref="F63:H74">(F41/(F$54*60*0.0283))*(14/(21-F$55))*1000000</f>
        <v>3.7318878209192694</v>
      </c>
      <c r="G63" s="26">
        <v>100</v>
      </c>
      <c r="H63" s="24">
        <f t="shared" si="5"/>
        <v>3.7520906649184926</v>
      </c>
      <c r="I63" s="26">
        <v>100</v>
      </c>
      <c r="J63" s="24">
        <f t="shared" si="0"/>
        <v>3.8282785366997265</v>
      </c>
      <c r="K63" s="26">
        <v>100</v>
      </c>
      <c r="L63" s="24">
        <f aca="true" t="shared" si="6" ref="L63:L74">(L41/(L$54*60*0.0283))*(14/(21-L$55))*1000000</f>
        <v>3.77013749193775</v>
      </c>
      <c r="M63" s="24"/>
      <c r="N63" s="24"/>
      <c r="O63" s="24"/>
      <c r="P63" s="24"/>
      <c r="Q63" s="24"/>
      <c r="R63" s="24"/>
      <c r="S63" s="24"/>
      <c r="T63" s="26"/>
      <c r="U63" s="26"/>
      <c r="V63" s="26"/>
      <c r="W63" s="26"/>
      <c r="X63" s="26"/>
      <c r="Y63" s="26"/>
      <c r="Z63" s="26"/>
      <c r="AA63" s="26"/>
      <c r="AB63" s="26"/>
      <c r="AC63" s="26">
        <v>100</v>
      </c>
      <c r="AD63" s="36">
        <f t="shared" si="1"/>
        <v>3.7318878209192694</v>
      </c>
      <c r="AE63" s="26">
        <v>100</v>
      </c>
      <c r="AF63" s="36">
        <f t="shared" si="2"/>
        <v>3.7520906649184926</v>
      </c>
      <c r="AG63" s="26">
        <v>100</v>
      </c>
      <c r="AH63" s="36">
        <f t="shared" si="3"/>
        <v>3.8282785366997265</v>
      </c>
      <c r="AI63" s="26">
        <v>100</v>
      </c>
      <c r="AJ63" s="36">
        <f t="shared" si="4"/>
        <v>3.77013749193775</v>
      </c>
      <c r="AK63" s="26"/>
    </row>
    <row r="64" spans="2:37" ht="12.75">
      <c r="B64" s="23" t="s">
        <v>154</v>
      </c>
      <c r="C64" s="23"/>
      <c r="D64" s="23" t="s">
        <v>107</v>
      </c>
      <c r="E64" s="32"/>
      <c r="F64" s="24">
        <f t="shared" si="5"/>
        <v>3.8065255773376543</v>
      </c>
      <c r="G64" s="32"/>
      <c r="H64" s="24">
        <f t="shared" si="5"/>
        <v>1.2006690127739175</v>
      </c>
      <c r="I64" s="32"/>
      <c r="J64" s="24">
        <f t="shared" si="0"/>
        <v>0.49767620977096433</v>
      </c>
      <c r="K64" s="32"/>
      <c r="L64" s="24">
        <f t="shared" si="6"/>
        <v>1.8473673710494978</v>
      </c>
      <c r="M64" s="24"/>
      <c r="N64" s="24"/>
      <c r="O64" s="24"/>
      <c r="P64" s="24"/>
      <c r="Q64" s="24"/>
      <c r="R64" s="24"/>
      <c r="S64" s="24"/>
      <c r="T64" s="26"/>
      <c r="U64" s="26"/>
      <c r="V64" s="26"/>
      <c r="W64" s="26"/>
      <c r="X64" s="26"/>
      <c r="Y64" s="26"/>
      <c r="Z64" s="26"/>
      <c r="AA64" s="26"/>
      <c r="AB64" s="26"/>
      <c r="AC64" s="32"/>
      <c r="AD64" s="36">
        <f t="shared" si="1"/>
        <v>3.8065255773376543</v>
      </c>
      <c r="AE64" s="32"/>
      <c r="AF64" s="36">
        <f t="shared" si="2"/>
        <v>1.2006690127739175</v>
      </c>
      <c r="AG64" s="32"/>
      <c r="AH64" s="36">
        <f t="shared" si="3"/>
        <v>0.49767620977096433</v>
      </c>
      <c r="AI64" s="32"/>
      <c r="AJ64" s="36">
        <f t="shared" si="4"/>
        <v>1.8473673710494978</v>
      </c>
      <c r="AK64" s="26"/>
    </row>
    <row r="65" spans="2:37" ht="12.75">
      <c r="B65" s="23" t="s">
        <v>155</v>
      </c>
      <c r="C65" s="23"/>
      <c r="D65" s="23" t="s">
        <v>107</v>
      </c>
      <c r="E65" s="32">
        <v>100</v>
      </c>
      <c r="F65" s="24">
        <f t="shared" si="5"/>
        <v>0.3731887820919269</v>
      </c>
      <c r="G65" s="32">
        <v>100</v>
      </c>
      <c r="H65" s="24">
        <f t="shared" si="5"/>
        <v>0.37520906649184926</v>
      </c>
      <c r="I65" s="32">
        <v>100</v>
      </c>
      <c r="J65" s="24">
        <f t="shared" si="0"/>
        <v>0.38282785366997263</v>
      </c>
      <c r="K65" s="32">
        <v>100</v>
      </c>
      <c r="L65" s="24">
        <f t="shared" si="6"/>
        <v>0.377013749193775</v>
      </c>
      <c r="M65" s="24"/>
      <c r="N65" s="24"/>
      <c r="O65" s="24"/>
      <c r="P65" s="24"/>
      <c r="Q65" s="24"/>
      <c r="R65" s="24"/>
      <c r="S65" s="24"/>
      <c r="T65" s="26"/>
      <c r="U65" s="26"/>
      <c r="V65" s="26"/>
      <c r="W65" s="26"/>
      <c r="X65" s="26"/>
      <c r="Y65" s="26"/>
      <c r="Z65" s="26"/>
      <c r="AA65" s="26"/>
      <c r="AB65" s="26"/>
      <c r="AC65" s="32">
        <v>100</v>
      </c>
      <c r="AD65" s="36">
        <f t="shared" si="1"/>
        <v>0.3731887820919269</v>
      </c>
      <c r="AE65" s="32">
        <v>100</v>
      </c>
      <c r="AF65" s="36">
        <f t="shared" si="2"/>
        <v>0.37520906649184926</v>
      </c>
      <c r="AG65" s="32">
        <v>100</v>
      </c>
      <c r="AH65" s="36">
        <f t="shared" si="3"/>
        <v>0.38282785366997263</v>
      </c>
      <c r="AI65" s="32">
        <v>100</v>
      </c>
      <c r="AJ65" s="36">
        <f t="shared" si="4"/>
        <v>0.377013749193775</v>
      </c>
      <c r="AK65" s="26"/>
    </row>
    <row r="66" spans="2:37" ht="12.75">
      <c r="B66" s="23" t="s">
        <v>156</v>
      </c>
      <c r="C66" s="23"/>
      <c r="D66" s="23" t="s">
        <v>107</v>
      </c>
      <c r="E66" s="32">
        <v>100</v>
      </c>
      <c r="F66" s="24">
        <f t="shared" si="5"/>
        <v>2.2391326925515616</v>
      </c>
      <c r="G66" s="32">
        <v>100</v>
      </c>
      <c r="H66" s="24">
        <f t="shared" si="5"/>
        <v>2.2512543989510956</v>
      </c>
      <c r="I66" s="32">
        <v>100</v>
      </c>
      <c r="J66" s="24">
        <f t="shared" si="0"/>
        <v>2.2969671220198355</v>
      </c>
      <c r="K66" s="32">
        <v>100</v>
      </c>
      <c r="L66" s="24">
        <f t="shared" si="6"/>
        <v>2.26208249516265</v>
      </c>
      <c r="M66" s="24"/>
      <c r="N66" s="24"/>
      <c r="O66" s="24"/>
      <c r="P66" s="24"/>
      <c r="Q66" s="24"/>
      <c r="R66" s="24"/>
      <c r="S66" s="24"/>
      <c r="T66" s="26"/>
      <c r="U66" s="26"/>
      <c r="V66" s="26"/>
      <c r="W66" s="26"/>
      <c r="X66" s="26"/>
      <c r="Y66" s="26"/>
      <c r="Z66" s="26"/>
      <c r="AA66" s="26"/>
      <c r="AB66" s="26"/>
      <c r="AC66" s="32">
        <v>100</v>
      </c>
      <c r="AD66" s="36">
        <f t="shared" si="1"/>
        <v>2.2391326925515616</v>
      </c>
      <c r="AE66" s="32">
        <v>100</v>
      </c>
      <c r="AF66" s="36">
        <f t="shared" si="2"/>
        <v>2.2512543989510956</v>
      </c>
      <c r="AG66" s="32">
        <v>100</v>
      </c>
      <c r="AH66" s="36">
        <f t="shared" si="3"/>
        <v>2.2969671220198355</v>
      </c>
      <c r="AI66" s="32">
        <v>100</v>
      </c>
      <c r="AJ66" s="36">
        <f t="shared" si="4"/>
        <v>2.26208249516265</v>
      </c>
      <c r="AK66" s="26"/>
    </row>
    <row r="67" spans="2:37" ht="12.75">
      <c r="B67" s="23" t="s">
        <v>178</v>
      </c>
      <c r="C67" s="23"/>
      <c r="D67" s="23" t="s">
        <v>107</v>
      </c>
      <c r="E67" s="26"/>
      <c r="F67" s="24">
        <f t="shared" si="5"/>
        <v>12.688418591125515</v>
      </c>
      <c r="G67" s="26"/>
      <c r="H67" s="24">
        <f t="shared" si="5"/>
        <v>5.553094184079369</v>
      </c>
      <c r="I67" s="26"/>
      <c r="J67" s="24">
        <f t="shared" si="0"/>
        <v>4.593934244039671</v>
      </c>
      <c r="K67" s="26"/>
      <c r="L67" s="24">
        <f t="shared" si="6"/>
        <v>7.640811983660507</v>
      </c>
      <c r="M67" s="24"/>
      <c r="N67" s="24"/>
      <c r="O67" s="24"/>
      <c r="P67" s="24"/>
      <c r="Q67" s="24"/>
      <c r="R67" s="24"/>
      <c r="S67" s="24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36">
        <f t="shared" si="1"/>
        <v>12.688418591125515</v>
      </c>
      <c r="AE67" s="26"/>
      <c r="AF67" s="36">
        <f t="shared" si="2"/>
        <v>5.553094184079369</v>
      </c>
      <c r="AG67" s="26"/>
      <c r="AH67" s="36">
        <f t="shared" si="3"/>
        <v>4.593934244039671</v>
      </c>
      <c r="AI67" s="26"/>
      <c r="AJ67" s="36">
        <f t="shared" si="4"/>
        <v>7.640811983660507</v>
      </c>
      <c r="AK67" s="26"/>
    </row>
    <row r="68" spans="2:37" ht="12.75">
      <c r="B68" s="23" t="s">
        <v>157</v>
      </c>
      <c r="C68" s="23"/>
      <c r="D68" s="23" t="s">
        <v>107</v>
      </c>
      <c r="E68" s="26"/>
      <c r="F68" s="24">
        <f t="shared" si="5"/>
        <v>5.224642949286976</v>
      </c>
      <c r="G68" s="26"/>
      <c r="H68" s="24">
        <f t="shared" si="5"/>
        <v>4.502508797902191</v>
      </c>
      <c r="I68" s="26"/>
      <c r="J68" s="24">
        <f t="shared" si="0"/>
        <v>16.078769854138848</v>
      </c>
      <c r="K68" s="26"/>
      <c r="L68" s="24">
        <f t="shared" si="6"/>
        <v>7.791617483338016</v>
      </c>
      <c r="M68" s="24"/>
      <c r="N68" s="24"/>
      <c r="O68" s="24"/>
      <c r="P68" s="24"/>
      <c r="Q68" s="24"/>
      <c r="R68" s="24"/>
      <c r="S68" s="24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36">
        <f t="shared" si="1"/>
        <v>5.224642949286976</v>
      </c>
      <c r="AE68" s="26"/>
      <c r="AF68" s="36">
        <f t="shared" si="2"/>
        <v>4.502508797902191</v>
      </c>
      <c r="AG68" s="26"/>
      <c r="AH68" s="36">
        <f t="shared" si="3"/>
        <v>16.078769854138848</v>
      </c>
      <c r="AI68" s="26"/>
      <c r="AJ68" s="36">
        <f t="shared" si="4"/>
        <v>7.791617483338016</v>
      </c>
      <c r="AK68" s="26"/>
    </row>
    <row r="69" spans="2:37" ht="12.75">
      <c r="B69" s="23" t="s">
        <v>158</v>
      </c>
      <c r="C69" s="23"/>
      <c r="D69" s="23" t="s">
        <v>107</v>
      </c>
      <c r="E69" s="26">
        <v>100</v>
      </c>
      <c r="F69" s="24">
        <f t="shared" si="5"/>
        <v>7.463775641838539</v>
      </c>
      <c r="G69" s="26">
        <v>100</v>
      </c>
      <c r="H69" s="24">
        <f t="shared" si="5"/>
        <v>6.003345063869588</v>
      </c>
      <c r="I69" s="26">
        <v>100</v>
      </c>
      <c r="J69" s="24">
        <f t="shared" si="0"/>
        <v>7.656557073399453</v>
      </c>
      <c r="K69" s="26">
        <v>100</v>
      </c>
      <c r="L69" s="24">
        <f t="shared" si="6"/>
        <v>7.037589984950467</v>
      </c>
      <c r="M69" s="24"/>
      <c r="N69" s="24"/>
      <c r="O69" s="24"/>
      <c r="P69" s="24"/>
      <c r="Q69" s="24"/>
      <c r="R69" s="24"/>
      <c r="S69" s="24"/>
      <c r="T69" s="26"/>
      <c r="U69" s="26"/>
      <c r="V69" s="26"/>
      <c r="W69" s="26"/>
      <c r="X69" s="26"/>
      <c r="Y69" s="26"/>
      <c r="Z69" s="26"/>
      <c r="AA69" s="26"/>
      <c r="AB69" s="26"/>
      <c r="AC69" s="26">
        <v>100</v>
      </c>
      <c r="AD69" s="36">
        <f t="shared" si="1"/>
        <v>7.463775641838539</v>
      </c>
      <c r="AE69" s="26">
        <v>100</v>
      </c>
      <c r="AF69" s="36">
        <f t="shared" si="2"/>
        <v>6.003345063869588</v>
      </c>
      <c r="AG69" s="26">
        <v>100</v>
      </c>
      <c r="AH69" s="36">
        <f t="shared" si="3"/>
        <v>7.656557073399453</v>
      </c>
      <c r="AI69" s="26">
        <v>100</v>
      </c>
      <c r="AJ69" s="36">
        <f t="shared" si="4"/>
        <v>7.037589984950467</v>
      </c>
      <c r="AK69" s="26"/>
    </row>
    <row r="70" spans="2:37" ht="12.75">
      <c r="B70" s="23" t="s">
        <v>159</v>
      </c>
      <c r="C70" s="23"/>
      <c r="D70" s="23" t="s">
        <v>107</v>
      </c>
      <c r="E70" s="26"/>
      <c r="F70" s="24">
        <f t="shared" si="5"/>
        <v>20.152194232964057</v>
      </c>
      <c r="G70" s="26"/>
      <c r="H70" s="24">
        <f t="shared" si="5"/>
        <v>15.00836265967397</v>
      </c>
      <c r="I70" s="26"/>
      <c r="J70" s="24">
        <f t="shared" si="0"/>
        <v>15.313114146798906</v>
      </c>
      <c r="K70" s="26"/>
      <c r="L70" s="24">
        <f t="shared" si="6"/>
        <v>10.305042477963186</v>
      </c>
      <c r="M70" s="24"/>
      <c r="N70" s="24"/>
      <c r="O70" s="24"/>
      <c r="P70" s="24"/>
      <c r="Q70" s="24"/>
      <c r="R70" s="24"/>
      <c r="S70" s="24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36">
        <f t="shared" si="1"/>
        <v>20.152194232964057</v>
      </c>
      <c r="AE70" s="26"/>
      <c r="AF70" s="36">
        <f t="shared" si="2"/>
        <v>15.00836265967397</v>
      </c>
      <c r="AG70" s="26"/>
      <c r="AH70" s="36">
        <f t="shared" si="3"/>
        <v>15.313114146798906</v>
      </c>
      <c r="AI70" s="26"/>
      <c r="AJ70" s="36">
        <f t="shared" si="4"/>
        <v>10.305042477963186</v>
      </c>
      <c r="AK70" s="26"/>
    </row>
    <row r="71" spans="2:37" ht="12.75">
      <c r="B71" s="23" t="s">
        <v>160</v>
      </c>
      <c r="C71" s="23"/>
      <c r="D71" s="23" t="s">
        <v>107</v>
      </c>
      <c r="E71" s="26">
        <v>100</v>
      </c>
      <c r="F71" s="24">
        <f t="shared" si="5"/>
        <v>5.224642949286976</v>
      </c>
      <c r="G71" s="26">
        <v>100</v>
      </c>
      <c r="H71" s="24">
        <f t="shared" si="5"/>
        <v>5.25292693088589</v>
      </c>
      <c r="I71" s="26">
        <v>100</v>
      </c>
      <c r="J71" s="24">
        <f t="shared" si="0"/>
        <v>5.3595899513796175</v>
      </c>
      <c r="K71" s="26">
        <v>100</v>
      </c>
      <c r="L71" s="24">
        <f t="shared" si="6"/>
        <v>5.27819248871285</v>
      </c>
      <c r="M71" s="24"/>
      <c r="N71" s="24"/>
      <c r="O71" s="24"/>
      <c r="P71" s="24"/>
      <c r="Q71" s="24"/>
      <c r="R71" s="24"/>
      <c r="S71" s="24"/>
      <c r="T71" s="26"/>
      <c r="U71" s="26"/>
      <c r="V71" s="26"/>
      <c r="W71" s="26"/>
      <c r="X71" s="26"/>
      <c r="Y71" s="26"/>
      <c r="Z71" s="26"/>
      <c r="AA71" s="26"/>
      <c r="AB71" s="26"/>
      <c r="AC71" s="26">
        <v>100</v>
      </c>
      <c r="AD71" s="36">
        <f t="shared" si="1"/>
        <v>5.224642949286976</v>
      </c>
      <c r="AE71" s="26">
        <v>100</v>
      </c>
      <c r="AF71" s="36">
        <f t="shared" si="2"/>
        <v>5.25292693088589</v>
      </c>
      <c r="AG71" s="26">
        <v>100</v>
      </c>
      <c r="AH71" s="36">
        <f t="shared" si="3"/>
        <v>5.3595899513796175</v>
      </c>
      <c r="AI71" s="26">
        <v>100</v>
      </c>
      <c r="AJ71" s="36">
        <f t="shared" si="4"/>
        <v>5.27819248871285</v>
      </c>
      <c r="AK71" s="26"/>
    </row>
    <row r="72" spans="2:37" ht="12.75">
      <c r="B72" s="23" t="s">
        <v>161</v>
      </c>
      <c r="C72" s="23"/>
      <c r="D72" s="23" t="s">
        <v>107</v>
      </c>
      <c r="E72" s="26">
        <v>100</v>
      </c>
      <c r="F72" s="24">
        <f t="shared" si="5"/>
        <v>0.6717398077654684</v>
      </c>
      <c r="G72" s="26">
        <v>100</v>
      </c>
      <c r="H72" s="24">
        <f t="shared" si="5"/>
        <v>0.6753763196853286</v>
      </c>
      <c r="I72" s="26">
        <v>100</v>
      </c>
      <c r="J72" s="24">
        <f t="shared" si="0"/>
        <v>0.6890901366059505</v>
      </c>
      <c r="K72" s="26">
        <v>100</v>
      </c>
      <c r="L72" s="24">
        <f t="shared" si="6"/>
        <v>0.678624748548795</v>
      </c>
      <c r="M72" s="24"/>
      <c r="N72" s="24"/>
      <c r="O72" s="24"/>
      <c r="P72" s="24"/>
      <c r="Q72" s="24"/>
      <c r="R72" s="24"/>
      <c r="S72" s="24"/>
      <c r="T72" s="26"/>
      <c r="U72" s="26"/>
      <c r="V72" s="26"/>
      <c r="W72" s="26"/>
      <c r="X72" s="26"/>
      <c r="Y72" s="26"/>
      <c r="Z72" s="26"/>
      <c r="AA72" s="26"/>
      <c r="AB72" s="26"/>
      <c r="AC72" s="26">
        <v>100</v>
      </c>
      <c r="AD72" s="36">
        <f t="shared" si="1"/>
        <v>0.6717398077654684</v>
      </c>
      <c r="AE72" s="26">
        <v>100</v>
      </c>
      <c r="AF72" s="36">
        <f t="shared" si="2"/>
        <v>0.6753763196853286</v>
      </c>
      <c r="AG72" s="26">
        <v>100</v>
      </c>
      <c r="AH72" s="36">
        <f t="shared" si="3"/>
        <v>0.6890901366059505</v>
      </c>
      <c r="AI72" s="26">
        <v>100</v>
      </c>
      <c r="AJ72" s="36">
        <f t="shared" si="4"/>
        <v>0.678624748548795</v>
      </c>
      <c r="AK72" s="26"/>
    </row>
    <row r="73" spans="2:37" ht="12.75">
      <c r="B73" s="23" t="s">
        <v>162</v>
      </c>
      <c r="C73" s="23"/>
      <c r="D73" s="23" t="s">
        <v>107</v>
      </c>
      <c r="E73" s="26"/>
      <c r="F73" s="24">
        <f t="shared" si="5"/>
        <v>5.747107244215674</v>
      </c>
      <c r="G73" s="26"/>
      <c r="H73" s="24">
        <f t="shared" si="5"/>
        <v>15.00836265967397</v>
      </c>
      <c r="I73" s="26"/>
      <c r="J73" s="24">
        <f t="shared" si="0"/>
        <v>10.719179902759235</v>
      </c>
      <c r="K73" s="26"/>
      <c r="L73" s="24">
        <f t="shared" si="6"/>
        <v>10.480982227586946</v>
      </c>
      <c r="M73" s="24"/>
      <c r="N73" s="24"/>
      <c r="O73" s="24"/>
      <c r="P73" s="24"/>
      <c r="Q73" s="24"/>
      <c r="R73" s="24"/>
      <c r="S73" s="24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36">
        <f t="shared" si="1"/>
        <v>5.747107244215674</v>
      </c>
      <c r="AE73" s="26"/>
      <c r="AF73" s="36">
        <f t="shared" si="2"/>
        <v>15.00836265967397</v>
      </c>
      <c r="AG73" s="26"/>
      <c r="AH73" s="36">
        <f t="shared" si="3"/>
        <v>10.719179902759235</v>
      </c>
      <c r="AI73" s="26"/>
      <c r="AJ73" s="36">
        <f t="shared" si="4"/>
        <v>10.480982227586946</v>
      </c>
      <c r="AK73" s="26"/>
    </row>
    <row r="74" spans="2:37" ht="12.75">
      <c r="B74" s="23" t="s">
        <v>180</v>
      </c>
      <c r="C74" s="23"/>
      <c r="D74" s="23" t="s">
        <v>107</v>
      </c>
      <c r="E74" s="26"/>
      <c r="F74" s="24">
        <f t="shared" si="5"/>
        <v>1268.8418591125514</v>
      </c>
      <c r="G74" s="26"/>
      <c r="H74" s="24">
        <f t="shared" si="5"/>
        <v>1350.7526393706573</v>
      </c>
      <c r="I74" s="26"/>
      <c r="J74" s="24">
        <f t="shared" si="0"/>
        <v>359.85818244977423</v>
      </c>
      <c r="K74" s="26"/>
      <c r="L74" s="24">
        <f t="shared" si="6"/>
        <v>997.8297228661911</v>
      </c>
      <c r="M74" s="24"/>
      <c r="N74" s="24"/>
      <c r="O74" s="24"/>
      <c r="P74" s="24"/>
      <c r="Q74" s="24"/>
      <c r="R74" s="24"/>
      <c r="S74" s="24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36">
        <f t="shared" si="1"/>
        <v>1268.8418591125514</v>
      </c>
      <c r="AE74" s="26"/>
      <c r="AF74" s="36">
        <f t="shared" si="2"/>
        <v>1350.7526393706573</v>
      </c>
      <c r="AG74" s="26"/>
      <c r="AH74" s="36">
        <f t="shared" si="3"/>
        <v>359.85818244977423</v>
      </c>
      <c r="AI74" s="26"/>
      <c r="AJ74" s="36">
        <f t="shared" si="4"/>
        <v>997.8297228661911</v>
      </c>
      <c r="AK74" s="26"/>
    </row>
    <row r="75" spans="2:37" ht="12.75">
      <c r="B75" s="23" t="s">
        <v>101</v>
      </c>
      <c r="C75" s="23"/>
      <c r="D75" s="23" t="s">
        <v>107</v>
      </c>
      <c r="E75" s="26">
        <f>F66/F75*100</f>
        <v>30.000000000000004</v>
      </c>
      <c r="F75" s="24">
        <f>(F66+F68)</f>
        <v>7.463775641838538</v>
      </c>
      <c r="G75" s="26">
        <f>H66/H75*100</f>
        <v>33.33333333333333</v>
      </c>
      <c r="H75" s="24">
        <f>(H66+H68)</f>
        <v>6.753763196853287</v>
      </c>
      <c r="I75" s="26">
        <f>J66/J75*100</f>
        <v>12.5</v>
      </c>
      <c r="J75" s="24">
        <f>(J66+J68)</f>
        <v>18.375736976158684</v>
      </c>
      <c r="K75" s="26">
        <f>L66/L75*100</f>
        <v>22.499999999999996</v>
      </c>
      <c r="L75" s="24">
        <f>(L66+L68)</f>
        <v>10.053699978500667</v>
      </c>
      <c r="M75" s="24"/>
      <c r="N75" s="24"/>
      <c r="O75" s="24"/>
      <c r="P75" s="24"/>
      <c r="Q75" s="24"/>
      <c r="R75" s="24"/>
      <c r="S75" s="24"/>
      <c r="T75" s="26"/>
      <c r="U75" s="26"/>
      <c r="V75" s="26"/>
      <c r="W75" s="26"/>
      <c r="X75" s="26"/>
      <c r="Y75" s="26"/>
      <c r="Z75" s="26"/>
      <c r="AA75" s="26"/>
      <c r="AB75" s="26"/>
      <c r="AC75" s="26">
        <f>AD66/AD75*100</f>
        <v>30.000000000000004</v>
      </c>
      <c r="AD75" s="36">
        <f>SUM(N75,F75)</f>
        <v>7.463775641838538</v>
      </c>
      <c r="AE75" s="26">
        <f>AF66/AF75*100</f>
        <v>33.33333333333333</v>
      </c>
      <c r="AF75" s="36">
        <f>SUM(P75,H75)</f>
        <v>6.753763196853287</v>
      </c>
      <c r="AG75" s="26">
        <f>AH66/AH75*100</f>
        <v>12.5</v>
      </c>
      <c r="AH75" s="36">
        <f>SUM(R75,J75)</f>
        <v>18.375736976158684</v>
      </c>
      <c r="AI75" s="26">
        <f>AJ66/AJ75*100</f>
        <v>22.499999999999996</v>
      </c>
      <c r="AJ75" s="36">
        <f>SUM(T75,L75)</f>
        <v>10.053699978500667</v>
      </c>
      <c r="AK75" s="26"/>
    </row>
    <row r="76" spans="2:37" ht="12.75">
      <c r="B76" s="23" t="s">
        <v>102</v>
      </c>
      <c r="C76" s="23"/>
      <c r="D76" s="23" t="s">
        <v>107</v>
      </c>
      <c r="E76" s="26">
        <f>SUM(F63,F65)/F76*100</f>
        <v>24.444444444444446</v>
      </c>
      <c r="F76" s="24">
        <f>(F63+F65+F67)</f>
        <v>16.79349519413671</v>
      </c>
      <c r="G76" s="26">
        <f>SUM(H63,H65)/H76*100</f>
        <v>42.63565891472868</v>
      </c>
      <c r="H76" s="24">
        <f>(H63+H65+H67)</f>
        <v>9.680393915489711</v>
      </c>
      <c r="I76" s="26">
        <f>SUM(J63,J65)/J76*100</f>
        <v>47.82608695652175</v>
      </c>
      <c r="J76" s="24">
        <f>(J63+J65+J67)</f>
        <v>8.80504063440937</v>
      </c>
      <c r="K76" s="26">
        <f>SUM(L63,L65)/L76*100</f>
        <v>35.18123667377399</v>
      </c>
      <c r="L76" s="24">
        <f>(L63+L65+L67)</f>
        <v>11.787963224792033</v>
      </c>
      <c r="M76" s="24"/>
      <c r="N76" s="24"/>
      <c r="O76" s="24"/>
      <c r="P76" s="24"/>
      <c r="Q76" s="24"/>
      <c r="R76" s="24"/>
      <c r="S76" s="24"/>
      <c r="T76" s="26"/>
      <c r="U76" s="26"/>
      <c r="V76" s="26"/>
      <c r="W76" s="26"/>
      <c r="X76" s="26"/>
      <c r="Y76" s="26"/>
      <c r="Z76" s="26"/>
      <c r="AA76" s="26"/>
      <c r="AB76" s="26"/>
      <c r="AC76" s="26">
        <f>SUM(AD63,AD65)/AD76*100</f>
        <v>24.444444444444446</v>
      </c>
      <c r="AD76" s="36">
        <f>SUM(N76,F76)</f>
        <v>16.79349519413671</v>
      </c>
      <c r="AE76" s="26">
        <f>SUM(AF63,AF65)/AF76*100</f>
        <v>42.63565891472868</v>
      </c>
      <c r="AF76" s="36">
        <f>SUM(P76,H76)</f>
        <v>9.680393915489711</v>
      </c>
      <c r="AG76" s="26">
        <f>SUM(AH63,AH65)/AH76*100</f>
        <v>47.82608695652175</v>
      </c>
      <c r="AH76" s="36">
        <f>SUM(R76,J76)</f>
        <v>8.80504063440937</v>
      </c>
      <c r="AI76" s="26">
        <f>SUM(AJ63,AJ65)/AJ76*100</f>
        <v>35.18123667377399</v>
      </c>
      <c r="AJ76" s="36">
        <f>SUM(T76,L76)</f>
        <v>11.787963224792033</v>
      </c>
      <c r="AK76" s="26"/>
    </row>
    <row r="77" spans="2:44" ht="12.75">
      <c r="B77" s="23"/>
      <c r="C77" s="23"/>
      <c r="D77" s="23"/>
      <c r="E77" s="26"/>
      <c r="F77" s="26"/>
      <c r="G77" s="26"/>
      <c r="H77" s="26"/>
      <c r="I77" s="26"/>
      <c r="J77" s="26"/>
      <c r="K77" s="26"/>
      <c r="L77" s="44"/>
      <c r="M77" s="44"/>
      <c r="N77" s="44"/>
      <c r="O77" s="44"/>
      <c r="P77" s="44"/>
      <c r="Q77" s="44"/>
      <c r="R77" s="44"/>
      <c r="S77" s="4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36"/>
      <c r="AE77" s="26"/>
      <c r="AF77" s="36"/>
      <c r="AG77" s="26"/>
      <c r="AH77" s="36"/>
      <c r="AI77" s="26"/>
      <c r="AJ77" s="36"/>
      <c r="AK77" s="26"/>
      <c r="AL77" s="26"/>
      <c r="AM77" s="26"/>
      <c r="AN77" s="26"/>
      <c r="AO77" s="26"/>
      <c r="AP77" s="26"/>
      <c r="AQ77" s="26"/>
      <c r="AR77" s="26"/>
    </row>
    <row r="79" spans="1:44" ht="12.75">
      <c r="A79" s="9" t="s">
        <v>182</v>
      </c>
      <c r="B79" s="43" t="s">
        <v>218</v>
      </c>
      <c r="C79" s="43" t="s">
        <v>164</v>
      </c>
      <c r="D79" s="23"/>
      <c r="E79" s="26"/>
      <c r="F79" s="26" t="s">
        <v>203</v>
      </c>
      <c r="G79" s="26"/>
      <c r="H79" s="26" t="s">
        <v>204</v>
      </c>
      <c r="I79" s="26"/>
      <c r="J79" s="26" t="s">
        <v>205</v>
      </c>
      <c r="K79" s="26"/>
      <c r="L79" s="44" t="s">
        <v>51</v>
      </c>
      <c r="N79" s="26" t="s">
        <v>203</v>
      </c>
      <c r="O79" s="26"/>
      <c r="P79" s="26" t="s">
        <v>204</v>
      </c>
      <c r="Q79" s="26"/>
      <c r="R79" s="26" t="s">
        <v>205</v>
      </c>
      <c r="S79" s="26"/>
      <c r="T79" s="44" t="s">
        <v>51</v>
      </c>
      <c r="U79" s="26"/>
      <c r="V79" s="26" t="s">
        <v>203</v>
      </c>
      <c r="W79" s="26"/>
      <c r="X79" s="26" t="s">
        <v>204</v>
      </c>
      <c r="Y79" s="26"/>
      <c r="Z79" s="26" t="s">
        <v>205</v>
      </c>
      <c r="AA79" s="26"/>
      <c r="AB79" s="44" t="s">
        <v>51</v>
      </c>
      <c r="AC79" s="26"/>
      <c r="AD79" s="26" t="s">
        <v>203</v>
      </c>
      <c r="AE79" s="26"/>
      <c r="AF79" s="26" t="s">
        <v>204</v>
      </c>
      <c r="AG79" s="26"/>
      <c r="AH79" s="26" t="s">
        <v>205</v>
      </c>
      <c r="AI79" s="26"/>
      <c r="AJ79" s="44" t="s">
        <v>51</v>
      </c>
      <c r="AK79" s="26"/>
      <c r="AL79" s="26" t="s">
        <v>203</v>
      </c>
      <c r="AM79" s="26"/>
      <c r="AN79" s="26" t="s">
        <v>204</v>
      </c>
      <c r="AO79" s="26"/>
      <c r="AP79" s="26" t="s">
        <v>205</v>
      </c>
      <c r="AQ79" s="26"/>
      <c r="AR79" s="44" t="s">
        <v>51</v>
      </c>
    </row>
    <row r="80" spans="2:44" ht="12.75">
      <c r="B80" s="43"/>
      <c r="C80" s="43"/>
      <c r="D80" s="23"/>
      <c r="E80" s="26"/>
      <c r="F80" s="26"/>
      <c r="G80" s="26"/>
      <c r="H80" s="26"/>
      <c r="I80" s="26"/>
      <c r="J80" s="26"/>
      <c r="K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</row>
    <row r="81" spans="2:44" ht="12.75">
      <c r="B81" s="23" t="s">
        <v>206</v>
      </c>
      <c r="C81" s="43"/>
      <c r="D81" s="23"/>
      <c r="E81" s="26"/>
      <c r="F81" s="26" t="s">
        <v>208</v>
      </c>
      <c r="G81" s="26"/>
      <c r="H81" s="26" t="s">
        <v>208</v>
      </c>
      <c r="I81" s="26"/>
      <c r="J81" s="26" t="s">
        <v>208</v>
      </c>
      <c r="K81" s="26"/>
      <c r="L81" s="10" t="s">
        <v>208</v>
      </c>
      <c r="N81" s="10" t="s">
        <v>209</v>
      </c>
      <c r="P81" s="10" t="s">
        <v>209</v>
      </c>
      <c r="R81" s="10" t="s">
        <v>209</v>
      </c>
      <c r="T81" s="26" t="s">
        <v>209</v>
      </c>
      <c r="U81" s="26"/>
      <c r="V81" s="26" t="s">
        <v>210</v>
      </c>
      <c r="W81" s="26"/>
      <c r="X81" s="26" t="s">
        <v>210</v>
      </c>
      <c r="Y81" s="26"/>
      <c r="Z81" s="26" t="s">
        <v>210</v>
      </c>
      <c r="AA81" s="26"/>
      <c r="AB81" s="26" t="s">
        <v>210</v>
      </c>
      <c r="AC81" s="26"/>
      <c r="AD81" s="26" t="s">
        <v>211</v>
      </c>
      <c r="AE81" s="26"/>
      <c r="AF81" s="26" t="s">
        <v>211</v>
      </c>
      <c r="AG81" s="26"/>
      <c r="AH81" s="26" t="s">
        <v>211</v>
      </c>
      <c r="AI81" s="26"/>
      <c r="AJ81" s="26" t="s">
        <v>211</v>
      </c>
      <c r="AK81" s="26"/>
      <c r="AL81" s="26" t="s">
        <v>212</v>
      </c>
      <c r="AM81" s="26"/>
      <c r="AN81" s="26" t="s">
        <v>212</v>
      </c>
      <c r="AO81" s="26"/>
      <c r="AP81" s="26" t="s">
        <v>212</v>
      </c>
      <c r="AQ81" s="26"/>
      <c r="AR81" s="26" t="s">
        <v>212</v>
      </c>
    </row>
    <row r="82" spans="2:44" ht="12.75">
      <c r="B82" s="23" t="s">
        <v>207</v>
      </c>
      <c r="C82" s="23"/>
      <c r="D82" s="23"/>
      <c r="E82" s="26"/>
      <c r="F82" s="26" t="s">
        <v>213</v>
      </c>
      <c r="G82" s="26"/>
      <c r="H82" s="26" t="s">
        <v>213</v>
      </c>
      <c r="I82" s="26"/>
      <c r="J82" s="26" t="s">
        <v>213</v>
      </c>
      <c r="K82" s="26"/>
      <c r="L82" s="26" t="s">
        <v>213</v>
      </c>
      <c r="M82" s="44"/>
      <c r="N82" s="44" t="s">
        <v>214</v>
      </c>
      <c r="O82" s="44"/>
      <c r="P82" s="44" t="s">
        <v>214</v>
      </c>
      <c r="Q82" s="44"/>
      <c r="R82" s="44" t="s">
        <v>214</v>
      </c>
      <c r="S82" s="44"/>
      <c r="T82" s="44" t="s">
        <v>214</v>
      </c>
      <c r="U82" s="26"/>
      <c r="V82" s="26" t="s">
        <v>215</v>
      </c>
      <c r="W82" s="26"/>
      <c r="X82" s="26" t="s">
        <v>215</v>
      </c>
      <c r="Y82" s="26"/>
      <c r="Z82" s="26" t="s">
        <v>215</v>
      </c>
      <c r="AA82" s="26"/>
      <c r="AB82" s="26" t="s">
        <v>215</v>
      </c>
      <c r="AC82" s="26"/>
      <c r="AD82" s="44" t="s">
        <v>92</v>
      </c>
      <c r="AE82" s="32"/>
      <c r="AF82" s="44" t="s">
        <v>92</v>
      </c>
      <c r="AG82" s="32"/>
      <c r="AH82" s="44" t="s">
        <v>92</v>
      </c>
      <c r="AI82" s="32"/>
      <c r="AJ82" s="44" t="s">
        <v>92</v>
      </c>
      <c r="AK82" s="44"/>
      <c r="AL82" s="44" t="s">
        <v>28</v>
      </c>
      <c r="AM82" s="44"/>
      <c r="AN82" s="44" t="s">
        <v>28</v>
      </c>
      <c r="AO82" s="44"/>
      <c r="AP82" s="44" t="s">
        <v>28</v>
      </c>
      <c r="AQ82" s="44"/>
      <c r="AR82" s="44" t="s">
        <v>28</v>
      </c>
    </row>
    <row r="83" spans="2:44" ht="12.75">
      <c r="B83" s="23" t="s">
        <v>216</v>
      </c>
      <c r="C83" s="23"/>
      <c r="D83" s="23"/>
      <c r="E83" s="26"/>
      <c r="F83" s="52" t="s">
        <v>97</v>
      </c>
      <c r="G83" s="26"/>
      <c r="H83" s="52" t="s">
        <v>97</v>
      </c>
      <c r="I83" s="26"/>
      <c r="J83" s="52" t="s">
        <v>97</v>
      </c>
      <c r="K83" s="26"/>
      <c r="L83" s="7" t="s">
        <v>97</v>
      </c>
      <c r="M83" s="44"/>
      <c r="N83" s="44"/>
      <c r="O83" s="44"/>
      <c r="P83" s="44"/>
      <c r="Q83" s="44"/>
      <c r="R83" s="44"/>
      <c r="S83" s="44"/>
      <c r="T83" s="44"/>
      <c r="U83" s="26"/>
      <c r="V83" s="44" t="s">
        <v>217</v>
      </c>
      <c r="W83" s="44"/>
      <c r="X83" s="44" t="s">
        <v>217</v>
      </c>
      <c r="Y83" s="44"/>
      <c r="Z83" s="44" t="s">
        <v>217</v>
      </c>
      <c r="AA83" s="44"/>
      <c r="AB83" s="44" t="s">
        <v>217</v>
      </c>
      <c r="AC83" s="26"/>
      <c r="AD83" s="44" t="s">
        <v>92</v>
      </c>
      <c r="AE83" s="32"/>
      <c r="AF83" s="44" t="s">
        <v>92</v>
      </c>
      <c r="AG83" s="32"/>
      <c r="AH83" s="44" t="s">
        <v>92</v>
      </c>
      <c r="AI83" s="32"/>
      <c r="AJ83" s="44" t="s">
        <v>92</v>
      </c>
      <c r="AK83" s="44"/>
      <c r="AL83" s="44" t="s">
        <v>28</v>
      </c>
      <c r="AM83" s="44"/>
      <c r="AN83" s="44" t="s">
        <v>28</v>
      </c>
      <c r="AO83" s="44"/>
      <c r="AP83" s="44" t="s">
        <v>28</v>
      </c>
      <c r="AQ83" s="44"/>
      <c r="AR83" s="44" t="s">
        <v>28</v>
      </c>
    </row>
    <row r="84" spans="2:44" ht="12.75">
      <c r="B84" s="23" t="s">
        <v>52</v>
      </c>
      <c r="C84" s="23"/>
      <c r="D84" s="23"/>
      <c r="E84" s="26"/>
      <c r="F84" s="32" t="s">
        <v>229</v>
      </c>
      <c r="G84" s="26"/>
      <c r="H84" s="32" t="s">
        <v>229</v>
      </c>
      <c r="I84" s="26"/>
      <c r="J84" s="32" t="s">
        <v>229</v>
      </c>
      <c r="K84" s="26"/>
      <c r="L84" s="32" t="s">
        <v>229</v>
      </c>
      <c r="M84" s="32"/>
      <c r="N84" s="44" t="s">
        <v>82</v>
      </c>
      <c r="O84" s="32"/>
      <c r="P84" s="44" t="s">
        <v>82</v>
      </c>
      <c r="Q84" s="32"/>
      <c r="R84" s="44" t="s">
        <v>82</v>
      </c>
      <c r="S84" s="32"/>
      <c r="T84" s="44" t="s">
        <v>82</v>
      </c>
      <c r="U84" s="44"/>
      <c r="V84" s="32" t="s">
        <v>230</v>
      </c>
      <c r="W84" s="44"/>
      <c r="X84" s="32" t="s">
        <v>230</v>
      </c>
      <c r="Y84" s="44"/>
      <c r="Z84" s="32" t="s">
        <v>230</v>
      </c>
      <c r="AA84" s="44"/>
      <c r="AB84" s="32" t="s">
        <v>230</v>
      </c>
      <c r="AC84" s="32"/>
      <c r="AD84" s="44" t="s">
        <v>92</v>
      </c>
      <c r="AE84" s="32"/>
      <c r="AF84" s="44" t="s">
        <v>92</v>
      </c>
      <c r="AG84" s="32"/>
      <c r="AH84" s="44" t="s">
        <v>92</v>
      </c>
      <c r="AI84" s="32"/>
      <c r="AJ84" s="44" t="s">
        <v>92</v>
      </c>
      <c r="AK84" s="44"/>
      <c r="AL84" s="44" t="s">
        <v>28</v>
      </c>
      <c r="AM84" s="44"/>
      <c r="AN84" s="44" t="s">
        <v>28</v>
      </c>
      <c r="AO84" s="44"/>
      <c r="AP84" s="44" t="s">
        <v>28</v>
      </c>
      <c r="AQ84" s="44"/>
      <c r="AR84" s="44" t="s">
        <v>28</v>
      </c>
    </row>
    <row r="85" spans="2:44" ht="12.75">
      <c r="B85" s="23" t="s">
        <v>184</v>
      </c>
      <c r="C85" s="23"/>
      <c r="D85" s="23" t="s">
        <v>66</v>
      </c>
      <c r="E85" s="26"/>
      <c r="F85">
        <v>5200</v>
      </c>
      <c r="G85"/>
      <c r="H85">
        <v>5242</v>
      </c>
      <c r="I85"/>
      <c r="J85">
        <v>5154</v>
      </c>
      <c r="K85"/>
      <c r="L85"/>
      <c r="M85"/>
      <c r="N85"/>
      <c r="O85"/>
      <c r="P85"/>
      <c r="Q85"/>
      <c r="R85"/>
      <c r="S85"/>
      <c r="T85"/>
      <c r="U85"/>
      <c r="V85">
        <v>73.75</v>
      </c>
      <c r="W85"/>
      <c r="X85">
        <v>77.33</v>
      </c>
      <c r="Y85"/>
      <c r="Z85">
        <v>77</v>
      </c>
      <c r="AA85"/>
      <c r="AB85"/>
      <c r="AC85"/>
      <c r="AD85">
        <v>12.8</v>
      </c>
      <c r="AE85"/>
      <c r="AF85">
        <v>11.5</v>
      </c>
      <c r="AG85"/>
      <c r="AH85">
        <v>13.5</v>
      </c>
      <c r="AI85"/>
      <c r="AJ85"/>
      <c r="AK85"/>
      <c r="AL85"/>
      <c r="AM85"/>
      <c r="AN85"/>
      <c r="AO85"/>
      <c r="AP85"/>
      <c r="AQ85"/>
      <c r="AR85"/>
    </row>
    <row r="86" spans="2:44" ht="12.75">
      <c r="B86" s="29" t="s">
        <v>183</v>
      </c>
      <c r="C86" s="29"/>
      <c r="D86" s="29" t="s">
        <v>69</v>
      </c>
      <c r="E86" s="26"/>
      <c r="F86">
        <v>44.3</v>
      </c>
      <c r="G86"/>
      <c r="H86">
        <v>44.6</v>
      </c>
      <c r="I86"/>
      <c r="J86">
        <v>42.4</v>
      </c>
      <c r="K86"/>
      <c r="L86" s="97">
        <f>AVERAGE(F86,H86,J86)</f>
        <v>43.76666666666667</v>
      </c>
      <c r="M86"/>
      <c r="N86"/>
      <c r="O86"/>
      <c r="P86"/>
      <c r="Q86"/>
      <c r="R86"/>
      <c r="S86"/>
      <c r="T86"/>
      <c r="U86"/>
      <c r="V86">
        <v>1.7</v>
      </c>
      <c r="W86"/>
      <c r="X86">
        <v>1.8</v>
      </c>
      <c r="Y86"/>
      <c r="Z86">
        <v>1.77</v>
      </c>
      <c r="AA86"/>
      <c r="AB86">
        <f>AVERAGE(V86,X86,Z86)</f>
        <v>1.7566666666666666</v>
      </c>
      <c r="AC86"/>
      <c r="AD86">
        <v>0</v>
      </c>
      <c r="AE86"/>
      <c r="AF86">
        <v>0</v>
      </c>
      <c r="AG86"/>
      <c r="AH86">
        <v>0</v>
      </c>
      <c r="AI86"/>
      <c r="AJ86"/>
      <c r="AK86"/>
      <c r="AL86">
        <f>SUM(V86,F86)</f>
        <v>46</v>
      </c>
      <c r="AM86"/>
      <c r="AN86">
        <f>SUM(X86,H86)</f>
        <v>46.4</v>
      </c>
      <c r="AO86"/>
      <c r="AP86">
        <f>SUM(Z86,J86)</f>
        <v>44.17</v>
      </c>
      <c r="AQ86"/>
      <c r="AR86" s="95">
        <f>AVERAGE(AP86,AN86,AL86)</f>
        <v>45.52333333333333</v>
      </c>
    </row>
    <row r="87" spans="2:44" ht="12.75">
      <c r="B87" s="23" t="s">
        <v>56</v>
      </c>
      <c r="C87" s="23"/>
      <c r="D87" s="23" t="s">
        <v>66</v>
      </c>
      <c r="E87" s="32"/>
      <c r="F87">
        <v>0.052</v>
      </c>
      <c r="G87"/>
      <c r="H87">
        <v>0.0786</v>
      </c>
      <c r="I87"/>
      <c r="J87">
        <v>0.0156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>
        <v>1.28</v>
      </c>
      <c r="AE87"/>
      <c r="AF87">
        <v>1.15</v>
      </c>
      <c r="AG87"/>
      <c r="AH87">
        <v>1.35</v>
      </c>
      <c r="AI87"/>
      <c r="AJ87"/>
      <c r="AK87"/>
      <c r="AL87"/>
      <c r="AM87"/>
      <c r="AN87"/>
      <c r="AO87"/>
      <c r="AP87"/>
      <c r="AQ87"/>
      <c r="AR87"/>
    </row>
    <row r="88" spans="2:44" ht="12.75">
      <c r="B88" s="23" t="s">
        <v>57</v>
      </c>
      <c r="C88" s="23"/>
      <c r="D88" s="23" t="s">
        <v>66</v>
      </c>
      <c r="E88" s="32"/>
      <c r="F88">
        <v>2600</v>
      </c>
      <c r="G88"/>
      <c r="H88">
        <v>2517</v>
      </c>
      <c r="I88"/>
      <c r="J88">
        <v>2579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2:44" ht="12.75">
      <c r="B89" s="23" t="s">
        <v>178</v>
      </c>
      <c r="C89" s="23"/>
      <c r="D89" s="23" t="s">
        <v>66</v>
      </c>
      <c r="E89" s="32"/>
      <c r="F89" s="94">
        <v>6.6E-05</v>
      </c>
      <c r="G89"/>
      <c r="H89" s="94">
        <v>5.03E-05</v>
      </c>
      <c r="I89"/>
      <c r="J89" s="94">
        <v>5.31E-05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>
        <v>0.0649</v>
      </c>
      <c r="AE89"/>
      <c r="AF89">
        <v>0.0575</v>
      </c>
      <c r="AG89"/>
      <c r="AH89">
        <v>0.0675</v>
      </c>
      <c r="AI89"/>
      <c r="AJ89"/>
      <c r="AK89"/>
      <c r="AL89"/>
      <c r="AM89"/>
      <c r="AN89"/>
      <c r="AO89"/>
      <c r="AP89"/>
      <c r="AQ89"/>
      <c r="AR89"/>
    </row>
    <row r="90" spans="2:44" ht="12.75">
      <c r="B90" s="23"/>
      <c r="C90" s="23"/>
      <c r="D90" s="23"/>
      <c r="E90" s="26"/>
      <c r="F90" s="26"/>
      <c r="G90" s="26"/>
      <c r="H90" s="26"/>
      <c r="I90" s="26"/>
      <c r="J90" s="26"/>
      <c r="K90" s="26"/>
      <c r="L90" s="44"/>
      <c r="M90" s="44"/>
      <c r="N90" s="26"/>
      <c r="O90" s="44"/>
      <c r="P90" s="26"/>
      <c r="Q90" s="44"/>
      <c r="R90" s="26"/>
      <c r="S90" s="44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2:44" ht="12.75">
      <c r="B91" s="23" t="s">
        <v>109</v>
      </c>
      <c r="C91" s="23"/>
      <c r="D91" s="23" t="s">
        <v>20</v>
      </c>
      <c r="E91" s="26"/>
      <c r="F91">
        <f>emiss!$G94</f>
        <v>10400</v>
      </c>
      <c r="G91"/>
      <c r="H91">
        <f>emiss!$I94</f>
        <v>10400</v>
      </c>
      <c r="I91"/>
      <c r="J91">
        <f>emiss!$K94</f>
        <v>10400</v>
      </c>
      <c r="K91"/>
      <c r="L91">
        <f>emiss!$K94</f>
        <v>10400</v>
      </c>
      <c r="M91"/>
      <c r="N91">
        <f>emiss!$G94</f>
        <v>10400</v>
      </c>
      <c r="O91"/>
      <c r="P91">
        <f>emiss!$I94</f>
        <v>10400</v>
      </c>
      <c r="Q91"/>
      <c r="R91">
        <f>emiss!$K94</f>
        <v>10400</v>
      </c>
      <c r="S91"/>
      <c r="T91">
        <f>emiss!$K94</f>
        <v>10400</v>
      </c>
      <c r="U91" s="26"/>
      <c r="V91">
        <f>emiss!$G94</f>
        <v>10400</v>
      </c>
      <c r="W91"/>
      <c r="X91">
        <f>emiss!$I94</f>
        <v>10400</v>
      </c>
      <c r="Y91"/>
      <c r="Z91">
        <f>emiss!$K94</f>
        <v>10400</v>
      </c>
      <c r="AA91"/>
      <c r="AB91">
        <f>emiss!$K94</f>
        <v>10400</v>
      </c>
      <c r="AC91" s="26"/>
      <c r="AD91">
        <f>emiss!$G94</f>
        <v>10400</v>
      </c>
      <c r="AE91"/>
      <c r="AF91">
        <f>emiss!$I94</f>
        <v>10400</v>
      </c>
      <c r="AG91"/>
      <c r="AH91">
        <f>emiss!$K94</f>
        <v>10400</v>
      </c>
      <c r="AI91"/>
      <c r="AJ91">
        <f>emiss!$K94</f>
        <v>10400</v>
      </c>
      <c r="AK91" s="26"/>
      <c r="AL91">
        <f>emiss!$G94</f>
        <v>10400</v>
      </c>
      <c r="AM91"/>
      <c r="AN91">
        <f>emiss!$I94</f>
        <v>10400</v>
      </c>
      <c r="AO91"/>
      <c r="AP91">
        <f>emiss!$K94</f>
        <v>10400</v>
      </c>
      <c r="AQ91"/>
      <c r="AR91">
        <f>emiss!$K94</f>
        <v>10400</v>
      </c>
    </row>
    <row r="92" spans="2:44" ht="12.75">
      <c r="B92" s="23" t="s">
        <v>110</v>
      </c>
      <c r="C92" s="23"/>
      <c r="D92" s="23" t="s">
        <v>21</v>
      </c>
      <c r="E92" s="26"/>
      <c r="F92">
        <f>emiss!$G95</f>
        <v>11</v>
      </c>
      <c r="G92"/>
      <c r="H92">
        <f>emiss!$I95</f>
        <v>11</v>
      </c>
      <c r="I92"/>
      <c r="J92">
        <f>emiss!$K95</f>
        <v>11</v>
      </c>
      <c r="K92"/>
      <c r="L92">
        <f>emiss!$K95</f>
        <v>11</v>
      </c>
      <c r="M92"/>
      <c r="N92">
        <f>emiss!$G95</f>
        <v>11</v>
      </c>
      <c r="O92"/>
      <c r="P92">
        <f>emiss!$I95</f>
        <v>11</v>
      </c>
      <c r="Q92"/>
      <c r="R92">
        <f>emiss!$K95</f>
        <v>11</v>
      </c>
      <c r="S92"/>
      <c r="T92">
        <f>emiss!$K95</f>
        <v>11</v>
      </c>
      <c r="U92" s="26"/>
      <c r="V92">
        <f>emiss!$G95</f>
        <v>11</v>
      </c>
      <c r="W92"/>
      <c r="X92">
        <f>emiss!$I95</f>
        <v>11</v>
      </c>
      <c r="Y92"/>
      <c r="Z92">
        <f>emiss!$K95</f>
        <v>11</v>
      </c>
      <c r="AA92"/>
      <c r="AB92">
        <f>emiss!$K95</f>
        <v>11</v>
      </c>
      <c r="AC92" s="26"/>
      <c r="AD92">
        <f>emiss!$G95</f>
        <v>11</v>
      </c>
      <c r="AE92"/>
      <c r="AF92">
        <f>emiss!$I95</f>
        <v>11</v>
      </c>
      <c r="AG92"/>
      <c r="AH92">
        <f>emiss!$K95</f>
        <v>11</v>
      </c>
      <c r="AI92"/>
      <c r="AJ92">
        <f>emiss!$K95</f>
        <v>11</v>
      </c>
      <c r="AK92" s="26"/>
      <c r="AL92">
        <f>emiss!$G95</f>
        <v>11</v>
      </c>
      <c r="AM92"/>
      <c r="AN92">
        <f>emiss!$I95</f>
        <v>11</v>
      </c>
      <c r="AO92"/>
      <c r="AP92">
        <f>emiss!$K95</f>
        <v>11</v>
      </c>
      <c r="AQ92"/>
      <c r="AR92">
        <f>emiss!$K95</f>
        <v>11</v>
      </c>
    </row>
    <row r="93" spans="2:44" ht="12.75">
      <c r="B93" s="23"/>
      <c r="C93" s="23"/>
      <c r="D93" s="23"/>
      <c r="E93" s="26"/>
      <c r="F93" s="26"/>
      <c r="G93" s="26"/>
      <c r="H93" s="26"/>
      <c r="I93" s="26"/>
      <c r="J93" s="26"/>
      <c r="K93" s="26"/>
      <c r="L93" s="44"/>
      <c r="M93" s="44"/>
      <c r="N93" s="26"/>
      <c r="O93" s="44"/>
      <c r="P93" s="26"/>
      <c r="Q93" s="44"/>
      <c r="R93" s="26"/>
      <c r="S93" s="44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2:44" ht="12.75">
      <c r="B94" s="80" t="s">
        <v>139</v>
      </c>
      <c r="C94" s="80"/>
      <c r="D94" s="23"/>
      <c r="E94" s="26"/>
      <c r="F94" s="26"/>
      <c r="G94" s="26"/>
      <c r="H94" s="26"/>
      <c r="I94" s="26"/>
      <c r="J94" s="26"/>
      <c r="K94" s="26"/>
      <c r="N94" s="26"/>
      <c r="P94" s="26"/>
      <c r="R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4"/>
    </row>
    <row r="95" spans="2:44" ht="12.75">
      <c r="B95" s="23" t="s">
        <v>56</v>
      </c>
      <c r="C95" s="23"/>
      <c r="D95" s="23" t="s">
        <v>106</v>
      </c>
      <c r="E95" s="26"/>
      <c r="F95" s="46">
        <f>F87*454/(60*0.0283*F91)*(14/(21-F92))*1000</f>
        <v>1.8716136631330975</v>
      </c>
      <c r="G95" s="26"/>
      <c r="H95" s="46">
        <f>H87*454/(60*0.0283*H91)*(14/(21-H92))*1000</f>
        <v>2.829016036966567</v>
      </c>
      <c r="I95" s="26"/>
      <c r="J95" s="46">
        <f>J87*454/(60*0.0283*J91)*(14/(21-J92))*1000</f>
        <v>0.5614840989399292</v>
      </c>
      <c r="K95" s="26"/>
      <c r="L95" s="46">
        <f>AVERAGE(F95,H95,J95)</f>
        <v>1.7540379330131979</v>
      </c>
      <c r="M95" s="46"/>
      <c r="N95" s="26"/>
      <c r="O95" s="46"/>
      <c r="P95" s="26"/>
      <c r="Q95" s="46"/>
      <c r="R95" s="26"/>
      <c r="S95" s="4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46">
        <f>AD87*454/(60*0.0283*AD91)*(14/(21-AD92))*1000</f>
        <v>46.0704901694301</v>
      </c>
      <c r="AE95" s="26"/>
      <c r="AF95" s="46">
        <f>AF87*454/(60*0.0283*AF91)*(14/(21-AF92))*1000</f>
        <v>41.39145601159734</v>
      </c>
      <c r="AG95" s="26"/>
      <c r="AH95" s="46">
        <f>AH87*454/(60*0.0283*AH91)*(14/(21-AH92))*1000</f>
        <v>48.58997010057081</v>
      </c>
      <c r="AI95" s="26"/>
      <c r="AJ95" s="46">
        <f>AVERAGE(AD95,AF95,AH95)</f>
        <v>45.35063876053275</v>
      </c>
      <c r="AK95" s="24"/>
      <c r="AL95" s="24">
        <f>SUM(AD95,V95,N96,F95)</f>
        <v>47.9421038325632</v>
      </c>
      <c r="AM95" s="24"/>
      <c r="AN95" s="24">
        <f>SUM(AF95,X95,P96,H95)</f>
        <v>44.220472048563906</v>
      </c>
      <c r="AO95" s="24"/>
      <c r="AP95" s="24">
        <f>SUM(AH95,Z95,R96,J95)</f>
        <v>49.15145419951074</v>
      </c>
      <c r="AQ95" s="24"/>
      <c r="AR95" s="24">
        <f>SUM(AJ95,AB95,T96,L95)</f>
        <v>47.104676693545954</v>
      </c>
    </row>
    <row r="96" spans="2:44" ht="12.75">
      <c r="B96" s="23" t="s">
        <v>57</v>
      </c>
      <c r="C96" s="23"/>
      <c r="D96" s="23" t="s">
        <v>107</v>
      </c>
      <c r="E96" s="26"/>
      <c r="F96" s="25">
        <f>F88*454/(60*0.0283*F91)*(14/(21-F92))*1000000</f>
        <v>93580683.15665486</v>
      </c>
      <c r="G96" s="26"/>
      <c r="H96" s="25">
        <f>H88*454/(60*0.0283*H91)*(14/(21-H92))*1000000</f>
        <v>90593299.80973089</v>
      </c>
      <c r="I96" s="26"/>
      <c r="J96" s="25">
        <f>J88*454/(60*0.0283*J91)*(14/(21-J92))*1000000</f>
        <v>92824839.17731267</v>
      </c>
      <c r="K96" s="26"/>
      <c r="L96" s="46">
        <f>AVERAGE(F96,H96,J96)</f>
        <v>92332940.71456616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37"/>
      <c r="AC96" s="37"/>
      <c r="AD96" s="25">
        <f>AD88*454/(60*0.0283*AD91)*(14/(21-AD92))*1000000</f>
        <v>0</v>
      </c>
      <c r="AE96" s="26"/>
      <c r="AF96" s="25">
        <f>AF88*454/(60*0.0283*AF91)*(14/(21-AF92))*1000000</f>
        <v>0</v>
      </c>
      <c r="AG96" s="26"/>
      <c r="AH96" s="25">
        <f>AH88*454/(60*0.0283*AH91)*(14/(21-AH92))*1000000</f>
        <v>0</v>
      </c>
      <c r="AI96" s="26"/>
      <c r="AJ96" s="46">
        <f>AVERAGE(AD96,AF96,AH96)</f>
        <v>0</v>
      </c>
      <c r="AK96" s="25"/>
      <c r="AL96" s="25">
        <f>SUM(AD96,V96,N97,F96)</f>
        <v>93580683.15665486</v>
      </c>
      <c r="AM96" s="25"/>
      <c r="AN96" s="25">
        <f>SUM(AF96,X96,P97,H96)</f>
        <v>90593299.80973089</v>
      </c>
      <c r="AO96" s="25"/>
      <c r="AP96" s="25">
        <f>SUM(AH96,Z96,R97,J96)</f>
        <v>92824839.17731267</v>
      </c>
      <c r="AQ96" s="25"/>
      <c r="AR96" s="25">
        <f>SUM(AJ96,AB96,T97,L96)</f>
        <v>92332940.71456616</v>
      </c>
    </row>
    <row r="97" spans="2:44" ht="12.75">
      <c r="B97" s="8" t="s">
        <v>178</v>
      </c>
      <c r="D97" s="8" t="s">
        <v>107</v>
      </c>
      <c r="F97" s="24">
        <f>F89*454/(60*0.0283*F91)*(14/(21-F92))*1000000</f>
        <v>2.3755096493612395</v>
      </c>
      <c r="H97" s="24">
        <f>H89*454/(60*0.0283*H91)*(14/(21-H92))*1000000</f>
        <v>1.8104262933768234</v>
      </c>
      <c r="J97" s="24">
        <f>J89*454/(60*0.0283*J91)*(14/(21-J92))*1000000</f>
        <v>1.9112054906224518</v>
      </c>
      <c r="L97" s="46">
        <f>AVERAGE(F97,H97,J97)</f>
        <v>2.032380477786838</v>
      </c>
      <c r="AD97" s="24">
        <f>AD89*454/(60*0.0283*AD91)*(14/(21-AD92))*1000000</f>
        <v>2335.9178218718853</v>
      </c>
      <c r="AF97" s="24">
        <f>AF89*454/(60*0.0283*AF91)*(14/(21-AF92))*1000000</f>
        <v>2069.5728005798674</v>
      </c>
      <c r="AH97" s="24">
        <f>AH89*454/(60*0.0283*AH91)*(14/(21-AH92))*1000000</f>
        <v>2429.4985050285404</v>
      </c>
      <c r="AJ97" s="46">
        <f>AVERAGE(AD97,AF97,AH97)</f>
        <v>2278.3297091600975</v>
      </c>
      <c r="AL97" s="25">
        <f>SUM(AD97,V97,N98,F97)</f>
        <v>2338.2933315212467</v>
      </c>
      <c r="AM97" s="25"/>
      <c r="AN97" s="25">
        <f>SUM(AF97,X97,P98,H97)</f>
        <v>2071.383226873244</v>
      </c>
      <c r="AO97" s="25"/>
      <c r="AP97" s="25">
        <f>SUM(AH97,Z97,R98,J97)</f>
        <v>2431.4097105191627</v>
      </c>
      <c r="AQ97" s="25"/>
      <c r="AR97" s="25">
        <f>SUM(AJ97,AB97,T98,L97)</f>
        <v>2280.3620896378843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5">
      <selection activeCell="A3" sqref="A3"/>
    </sheetView>
  </sheetViews>
  <sheetFormatPr defaultColWidth="9.140625" defaultRowHeight="12.75"/>
  <cols>
    <col min="1" max="1" width="29.28125" style="0" customWidth="1"/>
    <col min="3" max="3" width="12.28125" style="0" customWidth="1"/>
    <col min="4" max="4" width="12.421875" style="0" customWidth="1"/>
  </cols>
  <sheetData>
    <row r="1" ht="12.75">
      <c r="A1" s="16" t="s">
        <v>128</v>
      </c>
    </row>
    <row r="2" ht="12.75">
      <c r="A2" s="16"/>
    </row>
    <row r="3" ht="12.75">
      <c r="C3" s="18" t="s">
        <v>51</v>
      </c>
    </row>
    <row r="5" spans="1:2" ht="12.75">
      <c r="A5" s="16" t="s">
        <v>114</v>
      </c>
      <c r="B5" t="s">
        <v>164</v>
      </c>
    </row>
    <row r="7" spans="1:3" ht="14.25">
      <c r="A7" t="s">
        <v>140</v>
      </c>
      <c r="B7" s="17" t="s">
        <v>83</v>
      </c>
      <c r="C7">
        <v>1805</v>
      </c>
    </row>
    <row r="8" spans="1:3" ht="12.75">
      <c r="A8" t="s">
        <v>72</v>
      </c>
      <c r="B8" t="s">
        <v>80</v>
      </c>
      <c r="C8">
        <v>19.5</v>
      </c>
    </row>
    <row r="9" spans="1:3" ht="12.75">
      <c r="A9" t="s">
        <v>87</v>
      </c>
      <c r="B9" t="s">
        <v>88</v>
      </c>
      <c r="C9">
        <v>50.7</v>
      </c>
    </row>
    <row r="10" ht="12.75">
      <c r="A10" t="s">
        <v>142</v>
      </c>
    </row>
    <row r="11" spans="1:3" ht="12.75">
      <c r="A11" t="s">
        <v>143</v>
      </c>
      <c r="B11" t="s">
        <v>89</v>
      </c>
      <c r="C11">
        <v>9.1</v>
      </c>
    </row>
    <row r="12" spans="1:3" ht="12.75">
      <c r="A12" t="s">
        <v>144</v>
      </c>
      <c r="B12" t="s">
        <v>90</v>
      </c>
      <c r="C12">
        <v>60</v>
      </c>
    </row>
    <row r="13" spans="1:3" ht="12.75">
      <c r="A13" t="s">
        <v>145</v>
      </c>
      <c r="B13" t="s">
        <v>91</v>
      </c>
      <c r="C13">
        <v>15.3</v>
      </c>
    </row>
    <row r="15" spans="1:3" ht="12.75">
      <c r="A15" s="16" t="s">
        <v>84</v>
      </c>
      <c r="B15" t="s">
        <v>181</v>
      </c>
      <c r="C15" s="18" t="s">
        <v>51</v>
      </c>
    </row>
    <row r="17" spans="1:3" ht="14.25">
      <c r="A17" t="s">
        <v>140</v>
      </c>
      <c r="B17" s="17" t="s">
        <v>83</v>
      </c>
      <c r="C17">
        <v>2606</v>
      </c>
    </row>
    <row r="18" spans="1:3" ht="12.75">
      <c r="A18" t="s">
        <v>141</v>
      </c>
      <c r="B18" t="s">
        <v>80</v>
      </c>
      <c r="C18">
        <v>29.2</v>
      </c>
    </row>
    <row r="19" spans="1:3" ht="12.75">
      <c r="A19" t="s">
        <v>87</v>
      </c>
      <c r="B19" t="s">
        <v>88</v>
      </c>
      <c r="C19">
        <v>50.5</v>
      </c>
    </row>
    <row r="20" ht="12.75">
      <c r="A20" t="s">
        <v>142</v>
      </c>
    </row>
    <row r="21" spans="1:3" ht="12.75">
      <c r="A21" t="s">
        <v>143</v>
      </c>
      <c r="B21" t="s">
        <v>89</v>
      </c>
      <c r="C21">
        <v>8.87</v>
      </c>
    </row>
    <row r="22" spans="1:3" ht="12.75">
      <c r="A22" t="s">
        <v>144</v>
      </c>
      <c r="B22" t="s">
        <v>90</v>
      </c>
      <c r="C22">
        <v>60</v>
      </c>
    </row>
    <row r="23" spans="1:3" ht="12.75">
      <c r="A23" t="s">
        <v>145</v>
      </c>
      <c r="B23" t="s">
        <v>91</v>
      </c>
      <c r="C23">
        <v>15.1</v>
      </c>
    </row>
    <row r="25" spans="1:3" ht="12.75">
      <c r="A25" s="16" t="s">
        <v>218</v>
      </c>
      <c r="B25" t="s">
        <v>225</v>
      </c>
      <c r="C25" s="18" t="s">
        <v>51</v>
      </c>
    </row>
    <row r="27" spans="1:3" ht="14.25">
      <c r="A27" t="s">
        <v>140</v>
      </c>
      <c r="B27" s="17" t="s">
        <v>83</v>
      </c>
      <c r="C27">
        <v>2670</v>
      </c>
    </row>
    <row r="28" spans="1:3" ht="12.75">
      <c r="A28" t="s">
        <v>227</v>
      </c>
      <c r="B28" t="s">
        <v>226</v>
      </c>
      <c r="C28">
        <v>798</v>
      </c>
    </row>
    <row r="29" spans="1:3" ht="12.75">
      <c r="A29" t="s">
        <v>87</v>
      </c>
      <c r="B29" t="s">
        <v>88</v>
      </c>
      <c r="C29">
        <v>36.6</v>
      </c>
    </row>
    <row r="30" ht="12.75">
      <c r="A30" t="s">
        <v>142</v>
      </c>
    </row>
    <row r="31" spans="1:3" ht="12.75">
      <c r="A31" t="s">
        <v>143</v>
      </c>
      <c r="B31" t="s">
        <v>89</v>
      </c>
      <c r="C31">
        <v>8.3</v>
      </c>
    </row>
    <row r="32" spans="1:3" ht="12.75">
      <c r="A32" t="s">
        <v>144</v>
      </c>
      <c r="B32" t="s">
        <v>90</v>
      </c>
      <c r="C32">
        <v>34.4</v>
      </c>
    </row>
    <row r="33" spans="1:3" ht="12.75">
      <c r="A33" t="s">
        <v>145</v>
      </c>
      <c r="B33" t="s">
        <v>91</v>
      </c>
      <c r="C33">
        <v>10.75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3">
      <selection activeCell="A3" sqref="A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8515625" style="0" customWidth="1"/>
    <col min="4" max="4" width="3.57421875" style="0" customWidth="1"/>
    <col min="5" max="5" width="8.57421875" style="0" customWidth="1"/>
    <col min="6" max="6" width="8.8515625" style="0" customWidth="1"/>
    <col min="7" max="7" width="8.57421875" style="0" customWidth="1"/>
    <col min="8" max="8" width="8.8515625" style="0" customWidth="1"/>
    <col min="9" max="9" width="4.421875" style="0" customWidth="1"/>
    <col min="10" max="11" width="8.28125" style="0" customWidth="1"/>
    <col min="12" max="12" width="8.57421875" style="0" customWidth="1"/>
    <col min="13" max="13" width="8.28125" style="0" customWidth="1"/>
    <col min="14" max="14" width="3.7109375" style="0" customWidth="1"/>
    <col min="15" max="15" width="7.57421875" style="0" customWidth="1"/>
    <col min="16" max="16" width="9.00390625" style="0" customWidth="1"/>
    <col min="17" max="17" width="8.421875" style="0" customWidth="1"/>
    <col min="18" max="18" width="9.00390625" style="0" customWidth="1"/>
  </cols>
  <sheetData>
    <row r="1" spans="1:18" ht="12.75">
      <c r="A1" s="76" t="s">
        <v>121</v>
      </c>
      <c r="B1" s="26"/>
      <c r="C1" s="26"/>
      <c r="D1" s="26"/>
      <c r="E1" s="27"/>
      <c r="F1" s="28"/>
      <c r="G1" s="27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>
      <c r="A2" s="26" t="s">
        <v>238</v>
      </c>
      <c r="B2" s="26"/>
      <c r="C2" s="26"/>
      <c r="D2" s="26"/>
      <c r="E2" s="27"/>
      <c r="F2" s="28"/>
      <c r="G2" s="27"/>
      <c r="H2" s="28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.75">
      <c r="A3" s="26" t="s">
        <v>23</v>
      </c>
      <c r="B3" s="26"/>
      <c r="C3" s="23" t="s">
        <v>120</v>
      </c>
      <c r="D3" s="23"/>
      <c r="E3" s="27"/>
      <c r="F3" s="28"/>
      <c r="G3" s="27"/>
      <c r="H3" s="28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.75">
      <c r="A4" s="26" t="s">
        <v>24</v>
      </c>
      <c r="B4" s="26"/>
      <c r="C4" s="23" t="s">
        <v>84</v>
      </c>
      <c r="D4" s="23"/>
      <c r="E4" s="30"/>
      <c r="F4" s="31"/>
      <c r="G4" s="30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26" t="s">
        <v>25</v>
      </c>
      <c r="B5" s="26"/>
      <c r="C5" s="29" t="s">
        <v>86</v>
      </c>
      <c r="D5" s="29"/>
      <c r="E5" s="29"/>
      <c r="F5" s="29"/>
      <c r="G5" s="29"/>
      <c r="H5" s="29"/>
      <c r="I5" s="29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26"/>
      <c r="B6" s="26"/>
      <c r="C6" s="32"/>
      <c r="D6" s="32"/>
      <c r="E6" s="33"/>
      <c r="F6" s="28"/>
      <c r="G6" s="33"/>
      <c r="H6" s="28"/>
      <c r="I6" s="27"/>
      <c r="J6" s="33"/>
      <c r="K6" s="27"/>
      <c r="L6" s="33"/>
      <c r="M6" s="27"/>
      <c r="N6" s="27"/>
      <c r="O6" s="33"/>
      <c r="P6" s="27"/>
      <c r="Q6" s="33"/>
      <c r="R6" s="27"/>
    </row>
    <row r="7" spans="1:18" s="96" customFormat="1" ht="12.75">
      <c r="A7" s="26"/>
      <c r="B7" s="26"/>
      <c r="C7" s="32" t="s">
        <v>26</v>
      </c>
      <c r="D7" s="32"/>
      <c r="E7" s="34" t="s">
        <v>73</v>
      </c>
      <c r="F7" s="34"/>
      <c r="G7" s="34"/>
      <c r="H7" s="34"/>
      <c r="I7" s="35"/>
      <c r="J7" s="34" t="s">
        <v>74</v>
      </c>
      <c r="K7" s="34"/>
      <c r="L7" s="34"/>
      <c r="M7" s="34"/>
      <c r="N7" s="35"/>
      <c r="O7" s="34" t="s">
        <v>75</v>
      </c>
      <c r="P7" s="34"/>
      <c r="Q7" s="34"/>
      <c r="R7" s="34"/>
    </row>
    <row r="8" spans="1:18" s="96" customFormat="1" ht="12.75">
      <c r="A8" s="26"/>
      <c r="B8" s="26"/>
      <c r="C8" s="32" t="s">
        <v>27</v>
      </c>
      <c r="D8" s="26"/>
      <c r="E8" s="33" t="s">
        <v>28</v>
      </c>
      <c r="F8" s="31" t="s">
        <v>29</v>
      </c>
      <c r="G8" s="33" t="s">
        <v>28</v>
      </c>
      <c r="H8" s="31" t="s">
        <v>29</v>
      </c>
      <c r="I8" s="27"/>
      <c r="J8" s="33" t="s">
        <v>28</v>
      </c>
      <c r="K8" s="33" t="s">
        <v>30</v>
      </c>
      <c r="L8" s="33" t="s">
        <v>28</v>
      </c>
      <c r="M8" s="33" t="s">
        <v>30</v>
      </c>
      <c r="N8" s="27"/>
      <c r="O8" s="33" t="s">
        <v>28</v>
      </c>
      <c r="P8" s="33" t="s">
        <v>30</v>
      </c>
      <c r="Q8" s="33" t="s">
        <v>28</v>
      </c>
      <c r="R8" s="33" t="s">
        <v>30</v>
      </c>
    </row>
    <row r="9" spans="1:18" s="96" customFormat="1" ht="12.75">
      <c r="A9" s="26"/>
      <c r="B9" s="26"/>
      <c r="C9" s="32"/>
      <c r="D9" s="26"/>
      <c r="E9" s="33" t="s">
        <v>233</v>
      </c>
      <c r="F9" s="31" t="s">
        <v>119</v>
      </c>
      <c r="G9" s="33" t="s">
        <v>119</v>
      </c>
      <c r="H9" s="31" t="s">
        <v>119</v>
      </c>
      <c r="I9" s="27"/>
      <c r="J9" s="33" t="s">
        <v>233</v>
      </c>
      <c r="K9" s="31" t="s">
        <v>119</v>
      </c>
      <c r="L9" s="33" t="s">
        <v>119</v>
      </c>
      <c r="M9" s="31" t="s">
        <v>119</v>
      </c>
      <c r="N9" s="27"/>
      <c r="O9" s="33" t="s">
        <v>233</v>
      </c>
      <c r="P9" s="31" t="s">
        <v>119</v>
      </c>
      <c r="Q9" s="33" t="s">
        <v>119</v>
      </c>
      <c r="R9" s="31" t="s">
        <v>119</v>
      </c>
    </row>
    <row r="10" spans="1:18" ht="12.75">
      <c r="A10" s="26" t="s">
        <v>70</v>
      </c>
      <c r="B10" s="26"/>
      <c r="C10" s="26"/>
      <c r="D10" s="26"/>
      <c r="E10" s="27"/>
      <c r="F10" s="28"/>
      <c r="G10" s="27"/>
      <c r="H10" s="28"/>
      <c r="I10" s="27"/>
      <c r="J10" s="27"/>
      <c r="K10" s="27"/>
      <c r="L10" s="27"/>
      <c r="M10" s="27"/>
      <c r="N10" s="27"/>
      <c r="O10" s="36"/>
      <c r="P10" s="27"/>
      <c r="Q10" s="27"/>
      <c r="R10" s="27"/>
    </row>
    <row r="11" spans="1:18" ht="12.75">
      <c r="A11" s="26"/>
      <c r="B11" s="26" t="s">
        <v>31</v>
      </c>
      <c r="C11" s="32">
        <v>1</v>
      </c>
      <c r="D11" s="32"/>
      <c r="E11" s="37">
        <v>11</v>
      </c>
      <c r="F11" s="37">
        <f aca="true" t="shared" si="0" ref="F11:H35">IF(E11="","",E11*$C11)</f>
        <v>11</v>
      </c>
      <c r="G11" s="37">
        <f aca="true" t="shared" si="1" ref="G11:G23">IF(E11=0,"",IF(D11="nd",E11/2,E11))</f>
        <v>11</v>
      </c>
      <c r="H11" s="37">
        <f t="shared" si="0"/>
        <v>11</v>
      </c>
      <c r="I11" s="28"/>
      <c r="J11" s="29">
        <v>12</v>
      </c>
      <c r="K11" s="37">
        <f aca="true" t="shared" si="2" ref="K11:M35">IF(J11="","",J11*$C11)</f>
        <v>12</v>
      </c>
      <c r="L11" s="37">
        <f>IF(J11=0,"",IF(I11="nd",J11/2,J11))</f>
        <v>12</v>
      </c>
      <c r="M11" s="37">
        <f t="shared" si="2"/>
        <v>12</v>
      </c>
      <c r="N11" s="28"/>
      <c r="O11" s="37">
        <v>8</v>
      </c>
      <c r="P11" s="38">
        <f aca="true" t="shared" si="3" ref="P11:R35">IF(O11="","",O11*$C11)</f>
        <v>8</v>
      </c>
      <c r="Q11" s="37">
        <f>IF(O11=0,"",IF(N11="nd",O11/2,O11))</f>
        <v>8</v>
      </c>
      <c r="R11" s="38">
        <f t="shared" si="3"/>
        <v>8</v>
      </c>
    </row>
    <row r="12" spans="1:18" ht="12.75">
      <c r="A12" s="26"/>
      <c r="B12" s="26" t="s">
        <v>239</v>
      </c>
      <c r="C12" s="32">
        <v>0</v>
      </c>
      <c r="D12" s="32"/>
      <c r="E12" s="37">
        <v>38</v>
      </c>
      <c r="F12" s="37">
        <v>0</v>
      </c>
      <c r="G12" s="37">
        <f t="shared" si="1"/>
        <v>38</v>
      </c>
      <c r="H12" s="37">
        <v>0</v>
      </c>
      <c r="I12" s="28"/>
      <c r="J12" s="39">
        <v>17</v>
      </c>
      <c r="K12" s="37">
        <v>0</v>
      </c>
      <c r="L12" s="37">
        <f>IF(J12=0,"",IF(I12="nd",J12/2,J12))</f>
        <v>17</v>
      </c>
      <c r="M12" s="37">
        <v>0</v>
      </c>
      <c r="N12" s="28"/>
      <c r="O12" s="37">
        <v>100</v>
      </c>
      <c r="P12" s="37">
        <v>0</v>
      </c>
      <c r="Q12" s="37">
        <f>IF(O12=0,"",IF(N12="nd",O12/2,O12))</f>
        <v>100</v>
      </c>
      <c r="R12" s="37">
        <v>0</v>
      </c>
    </row>
    <row r="13" spans="1:18" ht="12.75">
      <c r="A13" s="26"/>
      <c r="B13" s="26" t="s">
        <v>33</v>
      </c>
      <c r="C13" s="32">
        <v>0.5</v>
      </c>
      <c r="D13" s="32"/>
      <c r="E13" s="37">
        <v>18</v>
      </c>
      <c r="F13" s="37">
        <f t="shared" si="0"/>
        <v>9</v>
      </c>
      <c r="G13" s="37">
        <f t="shared" si="1"/>
        <v>18</v>
      </c>
      <c r="H13" s="37">
        <f t="shared" si="0"/>
        <v>9</v>
      </c>
      <c r="I13" s="28"/>
      <c r="J13" s="29">
        <v>15</v>
      </c>
      <c r="K13" s="37">
        <f t="shared" si="2"/>
        <v>7.5</v>
      </c>
      <c r="L13" s="37">
        <f>IF(J13=0,"",IF(I13="nd",J13/2,J13))</f>
        <v>15</v>
      </c>
      <c r="M13" s="37">
        <f t="shared" si="2"/>
        <v>7.5</v>
      </c>
      <c r="N13" s="28"/>
      <c r="O13" s="40">
        <v>16</v>
      </c>
      <c r="P13" s="37">
        <f t="shared" si="3"/>
        <v>8</v>
      </c>
      <c r="Q13" s="37">
        <f>IF(O13=0,"",IF(N13="nd",O13/2,O13))</f>
        <v>16</v>
      </c>
      <c r="R13" s="37">
        <f t="shared" si="3"/>
        <v>8</v>
      </c>
    </row>
    <row r="14" spans="1:18" ht="12.75">
      <c r="A14" s="26"/>
      <c r="B14" s="26" t="s">
        <v>240</v>
      </c>
      <c r="C14" s="32">
        <v>0</v>
      </c>
      <c r="D14" s="32"/>
      <c r="E14" s="37">
        <v>50</v>
      </c>
      <c r="F14" s="37">
        <f t="shared" si="0"/>
        <v>0</v>
      </c>
      <c r="G14" s="37">
        <f t="shared" si="1"/>
        <v>50</v>
      </c>
      <c r="H14" s="37">
        <f t="shared" si="0"/>
        <v>0</v>
      </c>
      <c r="I14" s="28"/>
      <c r="J14" s="29">
        <v>27</v>
      </c>
      <c r="K14" s="37">
        <v>0</v>
      </c>
      <c r="L14" s="37">
        <f>IF(J14=0,"",IF(I14="nd",J14/2,J14))</f>
        <v>27</v>
      </c>
      <c r="M14" s="37">
        <v>0</v>
      </c>
      <c r="N14" s="28"/>
      <c r="O14" s="40">
        <v>30</v>
      </c>
      <c r="P14" s="37">
        <v>0</v>
      </c>
      <c r="Q14" s="37">
        <f>IF(O14=0,"",IF(N14="nd",O14/2,O14))</f>
        <v>30</v>
      </c>
      <c r="R14" s="37">
        <v>0</v>
      </c>
    </row>
    <row r="15" spans="1:18" ht="12.75">
      <c r="A15" s="26"/>
      <c r="B15" s="26" t="s">
        <v>34</v>
      </c>
      <c r="C15" s="32">
        <v>0.1</v>
      </c>
      <c r="D15" s="32"/>
      <c r="E15" s="37">
        <v>44</v>
      </c>
      <c r="F15" s="37">
        <f t="shared" si="0"/>
        <v>4.4</v>
      </c>
      <c r="G15" s="37">
        <f t="shared" si="1"/>
        <v>44</v>
      </c>
      <c r="H15" s="37">
        <f t="shared" si="0"/>
        <v>4.4</v>
      </c>
      <c r="I15" s="28"/>
      <c r="J15" s="29">
        <v>34</v>
      </c>
      <c r="K15" s="37">
        <f t="shared" si="2"/>
        <v>3.4000000000000004</v>
      </c>
      <c r="L15" s="37">
        <f aca="true" t="shared" si="4" ref="L15:L35">IF(J15=0,"",IF(I15="nd",J15/2,J15))</f>
        <v>34</v>
      </c>
      <c r="M15" s="37">
        <f t="shared" si="2"/>
        <v>3.4000000000000004</v>
      </c>
      <c r="N15" s="28"/>
      <c r="O15" s="40">
        <v>36</v>
      </c>
      <c r="P15" s="37">
        <f t="shared" si="3"/>
        <v>3.6</v>
      </c>
      <c r="Q15" s="37">
        <f aca="true" t="shared" si="5" ref="Q15:Q35">IF(O15=0,"",IF(N15="nd",O15/2,O15))</f>
        <v>36</v>
      </c>
      <c r="R15" s="37">
        <f t="shared" si="3"/>
        <v>3.6</v>
      </c>
    </row>
    <row r="16" spans="1:18" ht="12.75">
      <c r="A16" s="26"/>
      <c r="B16" s="26" t="s">
        <v>35</v>
      </c>
      <c r="C16" s="32">
        <v>0.1</v>
      </c>
      <c r="D16" s="32"/>
      <c r="E16" s="37">
        <v>42</v>
      </c>
      <c r="F16" s="37">
        <f t="shared" si="0"/>
        <v>4.2</v>
      </c>
      <c r="G16" s="37">
        <f t="shared" si="1"/>
        <v>42</v>
      </c>
      <c r="H16" s="37">
        <f t="shared" si="0"/>
        <v>4.2</v>
      </c>
      <c r="I16" s="28"/>
      <c r="J16" s="29">
        <v>34</v>
      </c>
      <c r="K16" s="37">
        <f t="shared" si="2"/>
        <v>3.4000000000000004</v>
      </c>
      <c r="L16" s="37">
        <f t="shared" si="4"/>
        <v>34</v>
      </c>
      <c r="M16" s="37">
        <f t="shared" si="2"/>
        <v>3.4000000000000004</v>
      </c>
      <c r="N16" s="28"/>
      <c r="O16" s="40">
        <v>35</v>
      </c>
      <c r="P16" s="37">
        <f t="shared" si="3"/>
        <v>3.5</v>
      </c>
      <c r="Q16" s="37">
        <f t="shared" si="5"/>
        <v>35</v>
      </c>
      <c r="R16" s="37">
        <f t="shared" si="3"/>
        <v>3.5</v>
      </c>
    </row>
    <row r="17" spans="1:18" ht="12.75">
      <c r="A17" s="26"/>
      <c r="B17" s="26" t="s">
        <v>36</v>
      </c>
      <c r="C17" s="32">
        <v>0.1</v>
      </c>
      <c r="D17" s="32"/>
      <c r="E17" s="37">
        <v>22</v>
      </c>
      <c r="F17" s="37">
        <f t="shared" si="0"/>
        <v>2.2</v>
      </c>
      <c r="G17" s="37">
        <f t="shared" si="1"/>
        <v>22</v>
      </c>
      <c r="H17" s="37">
        <f t="shared" si="0"/>
        <v>2.2</v>
      </c>
      <c r="I17" s="28"/>
      <c r="J17" s="29">
        <v>16</v>
      </c>
      <c r="K17" s="37">
        <f t="shared" si="2"/>
        <v>1.6</v>
      </c>
      <c r="L17" s="37">
        <f t="shared" si="4"/>
        <v>16</v>
      </c>
      <c r="M17" s="37">
        <f t="shared" si="2"/>
        <v>1.6</v>
      </c>
      <c r="N17" s="28"/>
      <c r="O17" s="40">
        <v>16</v>
      </c>
      <c r="P17" s="37">
        <f t="shared" si="3"/>
        <v>1.6</v>
      </c>
      <c r="Q17" s="37">
        <f t="shared" si="5"/>
        <v>16</v>
      </c>
      <c r="R17" s="37">
        <f t="shared" si="3"/>
        <v>1.6</v>
      </c>
    </row>
    <row r="18" spans="1:18" ht="12.75">
      <c r="A18" s="26"/>
      <c r="B18" s="26" t="s">
        <v>241</v>
      </c>
      <c r="C18" s="32">
        <v>0</v>
      </c>
      <c r="D18" s="32"/>
      <c r="E18" s="37">
        <v>240</v>
      </c>
      <c r="F18" s="37">
        <f t="shared" si="0"/>
        <v>0</v>
      </c>
      <c r="G18" s="37">
        <f t="shared" si="1"/>
        <v>240</v>
      </c>
      <c r="H18" s="37">
        <f t="shared" si="0"/>
        <v>0</v>
      </c>
      <c r="I18" s="28"/>
      <c r="J18" s="29">
        <v>160</v>
      </c>
      <c r="K18" s="37">
        <f t="shared" si="2"/>
        <v>0</v>
      </c>
      <c r="L18" s="37">
        <f t="shared" si="4"/>
        <v>160</v>
      </c>
      <c r="M18" s="37">
        <f t="shared" si="2"/>
        <v>0</v>
      </c>
      <c r="N18" s="28"/>
      <c r="O18" s="40">
        <v>170</v>
      </c>
      <c r="P18" s="37">
        <f t="shared" si="3"/>
        <v>0</v>
      </c>
      <c r="Q18" s="37">
        <f t="shared" si="5"/>
        <v>170</v>
      </c>
      <c r="R18" s="37">
        <f t="shared" si="3"/>
        <v>0</v>
      </c>
    </row>
    <row r="19" spans="1:18" ht="12.75">
      <c r="A19" s="26"/>
      <c r="B19" s="26" t="s">
        <v>37</v>
      </c>
      <c r="C19" s="32">
        <v>0.01</v>
      </c>
      <c r="D19" s="32"/>
      <c r="E19" s="37">
        <v>380</v>
      </c>
      <c r="F19" s="37">
        <f t="shared" si="0"/>
        <v>3.8000000000000003</v>
      </c>
      <c r="G19" s="37">
        <f t="shared" si="1"/>
        <v>380</v>
      </c>
      <c r="H19" s="37">
        <f t="shared" si="0"/>
        <v>3.8000000000000003</v>
      </c>
      <c r="I19" s="28"/>
      <c r="J19" s="29">
        <v>260</v>
      </c>
      <c r="K19" s="37">
        <f t="shared" si="2"/>
        <v>2.6</v>
      </c>
      <c r="L19" s="37">
        <f t="shared" si="4"/>
        <v>260</v>
      </c>
      <c r="M19" s="37">
        <f t="shared" si="2"/>
        <v>2.6</v>
      </c>
      <c r="N19" s="28"/>
      <c r="O19" s="40">
        <v>280</v>
      </c>
      <c r="P19" s="37">
        <f t="shared" si="3"/>
        <v>2.8000000000000003</v>
      </c>
      <c r="Q19" s="37">
        <f t="shared" si="5"/>
        <v>280</v>
      </c>
      <c r="R19" s="37">
        <f t="shared" si="3"/>
        <v>2.8000000000000003</v>
      </c>
    </row>
    <row r="20" spans="1:18" ht="12.75">
      <c r="A20" s="26"/>
      <c r="B20" s="26" t="s">
        <v>242</v>
      </c>
      <c r="C20" s="32">
        <v>0</v>
      </c>
      <c r="D20" s="32"/>
      <c r="E20" s="37">
        <v>580</v>
      </c>
      <c r="F20" s="37">
        <f t="shared" si="0"/>
        <v>0</v>
      </c>
      <c r="G20" s="37">
        <f t="shared" si="1"/>
        <v>580</v>
      </c>
      <c r="H20" s="37">
        <f t="shared" si="0"/>
        <v>0</v>
      </c>
      <c r="I20" s="28"/>
      <c r="J20" s="29">
        <v>370</v>
      </c>
      <c r="K20" s="37">
        <f t="shared" si="2"/>
        <v>0</v>
      </c>
      <c r="L20" s="37">
        <f t="shared" si="4"/>
        <v>370</v>
      </c>
      <c r="M20" s="37">
        <f t="shared" si="2"/>
        <v>0</v>
      </c>
      <c r="N20" s="28"/>
      <c r="O20" s="40">
        <v>390</v>
      </c>
      <c r="P20" s="37">
        <f t="shared" si="3"/>
        <v>0</v>
      </c>
      <c r="Q20" s="37">
        <f t="shared" si="5"/>
        <v>390</v>
      </c>
      <c r="R20" s="37">
        <f t="shared" si="3"/>
        <v>0</v>
      </c>
    </row>
    <row r="21" spans="1:18" ht="12.75">
      <c r="A21" s="26"/>
      <c r="B21" s="26" t="s">
        <v>38</v>
      </c>
      <c r="C21" s="32">
        <v>0.001</v>
      </c>
      <c r="D21" s="32"/>
      <c r="E21" s="37">
        <v>3200</v>
      </c>
      <c r="F21" s="37">
        <f t="shared" si="0"/>
        <v>3.2</v>
      </c>
      <c r="G21" s="37">
        <f t="shared" si="1"/>
        <v>3200</v>
      </c>
      <c r="H21" s="37">
        <f t="shared" si="0"/>
        <v>3.2</v>
      </c>
      <c r="I21" s="28"/>
      <c r="J21" s="29">
        <v>2500</v>
      </c>
      <c r="K21" s="37">
        <f t="shared" si="2"/>
        <v>2.5</v>
      </c>
      <c r="L21" s="37">
        <f t="shared" si="4"/>
        <v>2500</v>
      </c>
      <c r="M21" s="37">
        <f t="shared" si="2"/>
        <v>2.5</v>
      </c>
      <c r="N21" s="28"/>
      <c r="O21" s="40">
        <v>2400</v>
      </c>
      <c r="P21" s="37">
        <f t="shared" si="3"/>
        <v>2.4</v>
      </c>
      <c r="Q21" s="37">
        <f t="shared" si="5"/>
        <v>2400</v>
      </c>
      <c r="R21" s="37">
        <f t="shared" si="3"/>
        <v>2.4</v>
      </c>
    </row>
    <row r="22" spans="1:18" ht="12.75">
      <c r="A22" s="26"/>
      <c r="B22" s="26" t="s">
        <v>39</v>
      </c>
      <c r="C22" s="32">
        <v>0.1</v>
      </c>
      <c r="D22" s="32"/>
      <c r="E22" s="37">
        <v>1100</v>
      </c>
      <c r="F22" s="37">
        <f t="shared" si="0"/>
        <v>110</v>
      </c>
      <c r="G22" s="37">
        <f t="shared" si="1"/>
        <v>1100</v>
      </c>
      <c r="H22" s="37">
        <f t="shared" si="0"/>
        <v>110</v>
      </c>
      <c r="I22" s="28"/>
      <c r="J22" s="29">
        <v>1200</v>
      </c>
      <c r="K22" s="37">
        <f t="shared" si="2"/>
        <v>120</v>
      </c>
      <c r="L22" s="37">
        <f t="shared" si="4"/>
        <v>1200</v>
      </c>
      <c r="M22" s="37">
        <f t="shared" si="2"/>
        <v>120</v>
      </c>
      <c r="N22" s="28"/>
      <c r="O22" s="40">
        <v>730</v>
      </c>
      <c r="P22" s="37">
        <f t="shared" si="3"/>
        <v>73</v>
      </c>
      <c r="Q22" s="37">
        <f t="shared" si="5"/>
        <v>730</v>
      </c>
      <c r="R22" s="37">
        <f t="shared" si="3"/>
        <v>73</v>
      </c>
    </row>
    <row r="23" spans="1:18" ht="12.75">
      <c r="A23" s="26"/>
      <c r="B23" s="26" t="s">
        <v>243</v>
      </c>
      <c r="C23" s="32">
        <v>0</v>
      </c>
      <c r="D23" s="32"/>
      <c r="E23" s="37">
        <v>3400</v>
      </c>
      <c r="F23" s="37">
        <f t="shared" si="0"/>
        <v>0</v>
      </c>
      <c r="G23" s="37">
        <f t="shared" si="1"/>
        <v>3400</v>
      </c>
      <c r="H23" s="37">
        <f t="shared" si="0"/>
        <v>0</v>
      </c>
      <c r="I23" s="28"/>
      <c r="J23" s="29">
        <v>4700</v>
      </c>
      <c r="K23" s="37">
        <f t="shared" si="2"/>
        <v>0</v>
      </c>
      <c r="L23" s="37">
        <f t="shared" si="4"/>
        <v>4700</v>
      </c>
      <c r="M23" s="37">
        <f t="shared" si="2"/>
        <v>0</v>
      </c>
      <c r="N23" s="28"/>
      <c r="O23" s="40">
        <v>2600</v>
      </c>
      <c r="P23" s="37">
        <f t="shared" si="3"/>
        <v>0</v>
      </c>
      <c r="Q23" s="37">
        <f t="shared" si="5"/>
        <v>2600</v>
      </c>
      <c r="R23" s="37">
        <f t="shared" si="3"/>
        <v>0</v>
      </c>
    </row>
    <row r="24" spans="1:18" ht="12.75">
      <c r="A24" s="26"/>
      <c r="B24" s="26" t="s">
        <v>40</v>
      </c>
      <c r="C24" s="32">
        <v>0.05</v>
      </c>
      <c r="D24" s="32"/>
      <c r="E24" s="37">
        <v>1800</v>
      </c>
      <c r="F24" s="37">
        <f t="shared" si="0"/>
        <v>90</v>
      </c>
      <c r="G24" s="37">
        <f aca="true" t="shared" si="6" ref="G24:G35">IF(E24=0,"",IF(D24="nd",E24/2,E24))</f>
        <v>1800</v>
      </c>
      <c r="H24" s="37">
        <f t="shared" si="0"/>
        <v>90</v>
      </c>
      <c r="I24" s="28"/>
      <c r="J24" s="29">
        <v>2300</v>
      </c>
      <c r="K24" s="37">
        <f t="shared" si="2"/>
        <v>115</v>
      </c>
      <c r="L24" s="37">
        <f t="shared" si="4"/>
        <v>2300</v>
      </c>
      <c r="M24" s="37">
        <f t="shared" si="2"/>
        <v>115</v>
      </c>
      <c r="N24" s="28"/>
      <c r="O24" s="40">
        <v>1500</v>
      </c>
      <c r="P24" s="37">
        <f t="shared" si="3"/>
        <v>75</v>
      </c>
      <c r="Q24" s="37">
        <f t="shared" si="5"/>
        <v>1500</v>
      </c>
      <c r="R24" s="37">
        <f t="shared" si="3"/>
        <v>75</v>
      </c>
    </row>
    <row r="25" spans="1:18" ht="12.75">
      <c r="A25" s="26"/>
      <c r="B25" s="26" t="s">
        <v>41</v>
      </c>
      <c r="C25" s="32">
        <v>0.5</v>
      </c>
      <c r="D25" s="32"/>
      <c r="E25" s="37">
        <v>1100</v>
      </c>
      <c r="F25" s="37">
        <f t="shared" si="0"/>
        <v>550</v>
      </c>
      <c r="G25" s="37">
        <f t="shared" si="6"/>
        <v>1100</v>
      </c>
      <c r="H25" s="37">
        <f t="shared" si="0"/>
        <v>550</v>
      </c>
      <c r="I25" s="28"/>
      <c r="J25" s="29">
        <v>1300</v>
      </c>
      <c r="K25" s="37">
        <f t="shared" si="2"/>
        <v>650</v>
      </c>
      <c r="L25" s="37">
        <f t="shared" si="4"/>
        <v>1300</v>
      </c>
      <c r="M25" s="37">
        <f t="shared" si="2"/>
        <v>650</v>
      </c>
      <c r="N25" s="28"/>
      <c r="O25" s="40">
        <v>890</v>
      </c>
      <c r="P25" s="37">
        <f t="shared" si="3"/>
        <v>445</v>
      </c>
      <c r="Q25" s="37">
        <f t="shared" si="5"/>
        <v>890</v>
      </c>
      <c r="R25" s="37">
        <f t="shared" si="3"/>
        <v>445</v>
      </c>
    </row>
    <row r="26" spans="1:18" ht="12.75">
      <c r="A26" s="26"/>
      <c r="B26" s="26" t="s">
        <v>244</v>
      </c>
      <c r="C26" s="32">
        <v>0</v>
      </c>
      <c r="D26" s="32"/>
      <c r="E26" s="37">
        <v>5200</v>
      </c>
      <c r="F26" s="37">
        <f t="shared" si="0"/>
        <v>0</v>
      </c>
      <c r="G26" s="37">
        <f t="shared" si="6"/>
        <v>5200</v>
      </c>
      <c r="H26" s="37">
        <f t="shared" si="0"/>
        <v>0</v>
      </c>
      <c r="I26" s="28"/>
      <c r="J26" s="29">
        <v>6100</v>
      </c>
      <c r="K26" s="37">
        <f t="shared" si="2"/>
        <v>0</v>
      </c>
      <c r="L26" s="37">
        <f t="shared" si="4"/>
        <v>6100</v>
      </c>
      <c r="M26" s="37">
        <f t="shared" si="2"/>
        <v>0</v>
      </c>
      <c r="N26" s="28"/>
      <c r="O26" s="40">
        <v>4100</v>
      </c>
      <c r="P26" s="37">
        <f t="shared" si="3"/>
        <v>0</v>
      </c>
      <c r="Q26" s="37">
        <f t="shared" si="5"/>
        <v>4100</v>
      </c>
      <c r="R26" s="37">
        <f t="shared" si="3"/>
        <v>0</v>
      </c>
    </row>
    <row r="27" spans="1:18" ht="12.75">
      <c r="A27" s="26"/>
      <c r="B27" s="26" t="s">
        <v>42</v>
      </c>
      <c r="C27" s="32">
        <v>0.1</v>
      </c>
      <c r="D27" s="32"/>
      <c r="E27" s="37">
        <v>3500</v>
      </c>
      <c r="F27" s="37">
        <f t="shared" si="0"/>
        <v>350</v>
      </c>
      <c r="G27" s="37">
        <f t="shared" si="6"/>
        <v>3500</v>
      </c>
      <c r="H27" s="37">
        <f t="shared" si="0"/>
        <v>350</v>
      </c>
      <c r="I27" s="28"/>
      <c r="J27" s="29">
        <v>3400</v>
      </c>
      <c r="K27" s="37">
        <f t="shared" si="2"/>
        <v>340</v>
      </c>
      <c r="L27" s="37">
        <f t="shared" si="4"/>
        <v>3400</v>
      </c>
      <c r="M27" s="37">
        <f t="shared" si="2"/>
        <v>340</v>
      </c>
      <c r="N27" s="28"/>
      <c r="O27" s="40">
        <v>2800</v>
      </c>
      <c r="P27" s="37">
        <f t="shared" si="3"/>
        <v>280</v>
      </c>
      <c r="Q27" s="37">
        <f t="shared" si="5"/>
        <v>2800</v>
      </c>
      <c r="R27" s="37">
        <f t="shared" si="3"/>
        <v>280</v>
      </c>
    </row>
    <row r="28" spans="1:18" ht="12.75">
      <c r="A28" s="26"/>
      <c r="B28" s="26" t="s">
        <v>43</v>
      </c>
      <c r="C28" s="32">
        <v>0.1</v>
      </c>
      <c r="D28" s="32"/>
      <c r="E28" s="37">
        <v>1300</v>
      </c>
      <c r="F28" s="37">
        <f t="shared" si="0"/>
        <v>130</v>
      </c>
      <c r="G28" s="37">
        <f t="shared" si="6"/>
        <v>1300</v>
      </c>
      <c r="H28" s="37">
        <f t="shared" si="0"/>
        <v>130</v>
      </c>
      <c r="I28" s="28"/>
      <c r="J28" s="29">
        <v>1200</v>
      </c>
      <c r="K28" s="37">
        <f t="shared" si="2"/>
        <v>120</v>
      </c>
      <c r="L28" s="37">
        <f t="shared" si="4"/>
        <v>1200</v>
      </c>
      <c r="M28" s="37">
        <f t="shared" si="2"/>
        <v>120</v>
      </c>
      <c r="N28" s="28"/>
      <c r="O28" s="40">
        <v>1000</v>
      </c>
      <c r="P28" s="37">
        <f t="shared" si="3"/>
        <v>100</v>
      </c>
      <c r="Q28" s="37">
        <f t="shared" si="5"/>
        <v>1000</v>
      </c>
      <c r="R28" s="37">
        <f t="shared" si="3"/>
        <v>100</v>
      </c>
    </row>
    <row r="29" spans="1:18" ht="12.75">
      <c r="A29" s="26"/>
      <c r="B29" s="26" t="s">
        <v>44</v>
      </c>
      <c r="C29" s="32">
        <v>0.1</v>
      </c>
      <c r="D29" s="32"/>
      <c r="E29" s="37">
        <v>850</v>
      </c>
      <c r="F29" s="37">
        <f t="shared" si="0"/>
        <v>85</v>
      </c>
      <c r="G29" s="37">
        <f t="shared" si="6"/>
        <v>850</v>
      </c>
      <c r="H29" s="37">
        <f t="shared" si="0"/>
        <v>85</v>
      </c>
      <c r="I29" s="28"/>
      <c r="J29" s="29">
        <v>780</v>
      </c>
      <c r="K29" s="37">
        <f t="shared" si="2"/>
        <v>78</v>
      </c>
      <c r="L29" s="37">
        <f t="shared" si="4"/>
        <v>780</v>
      </c>
      <c r="M29" s="37">
        <f t="shared" si="2"/>
        <v>78</v>
      </c>
      <c r="N29" s="28"/>
      <c r="O29" s="40">
        <v>660</v>
      </c>
      <c r="P29" s="37">
        <f t="shared" si="3"/>
        <v>66</v>
      </c>
      <c r="Q29" s="37">
        <f t="shared" si="5"/>
        <v>660</v>
      </c>
      <c r="R29" s="37">
        <f t="shared" si="3"/>
        <v>66</v>
      </c>
    </row>
    <row r="30" spans="1:18" ht="12.75">
      <c r="A30" s="26"/>
      <c r="B30" s="26" t="s">
        <v>45</v>
      </c>
      <c r="C30" s="32">
        <v>0.1</v>
      </c>
      <c r="D30" s="32"/>
      <c r="E30" s="37">
        <v>930</v>
      </c>
      <c r="F30" s="37">
        <f t="shared" si="0"/>
        <v>93</v>
      </c>
      <c r="G30" s="37">
        <f t="shared" si="6"/>
        <v>930</v>
      </c>
      <c r="H30" s="37">
        <f t="shared" si="0"/>
        <v>93</v>
      </c>
      <c r="I30" s="28"/>
      <c r="J30" s="29">
        <v>960</v>
      </c>
      <c r="K30" s="37">
        <f t="shared" si="2"/>
        <v>96</v>
      </c>
      <c r="L30" s="37">
        <f t="shared" si="4"/>
        <v>960</v>
      </c>
      <c r="M30" s="37">
        <f t="shared" si="2"/>
        <v>96</v>
      </c>
      <c r="N30" s="28"/>
      <c r="O30" s="40">
        <v>760</v>
      </c>
      <c r="P30" s="37">
        <f t="shared" si="3"/>
        <v>76</v>
      </c>
      <c r="Q30" s="37">
        <f t="shared" si="5"/>
        <v>760</v>
      </c>
      <c r="R30" s="37">
        <f t="shared" si="3"/>
        <v>76</v>
      </c>
    </row>
    <row r="31" spans="1:18" ht="12.75">
      <c r="A31" s="26"/>
      <c r="B31" s="26" t="s">
        <v>245</v>
      </c>
      <c r="C31" s="32">
        <v>0</v>
      </c>
      <c r="D31" s="32"/>
      <c r="E31" s="37">
        <v>10000</v>
      </c>
      <c r="F31" s="37">
        <f t="shared" si="0"/>
        <v>0</v>
      </c>
      <c r="G31" s="37">
        <f t="shared" si="6"/>
        <v>10000</v>
      </c>
      <c r="H31" s="37">
        <f t="shared" si="0"/>
        <v>0</v>
      </c>
      <c r="I31" s="28"/>
      <c r="J31" s="29">
        <v>8900</v>
      </c>
      <c r="K31" s="37">
        <f t="shared" si="2"/>
        <v>0</v>
      </c>
      <c r="L31" s="37">
        <f t="shared" si="4"/>
        <v>8900</v>
      </c>
      <c r="M31" s="37">
        <f t="shared" si="2"/>
        <v>0</v>
      </c>
      <c r="N31" s="28"/>
      <c r="O31" s="40">
        <v>7700</v>
      </c>
      <c r="P31" s="37">
        <f t="shared" si="3"/>
        <v>0</v>
      </c>
      <c r="Q31" s="37">
        <f t="shared" si="5"/>
        <v>7700</v>
      </c>
      <c r="R31" s="37">
        <f t="shared" si="3"/>
        <v>0</v>
      </c>
    </row>
    <row r="32" spans="1:18" ht="12.75">
      <c r="A32" s="26"/>
      <c r="B32" s="26" t="s">
        <v>46</v>
      </c>
      <c r="C32" s="32">
        <v>0.01</v>
      </c>
      <c r="D32" s="32"/>
      <c r="E32" s="37">
        <v>20000</v>
      </c>
      <c r="F32" s="37">
        <f t="shared" si="0"/>
        <v>200</v>
      </c>
      <c r="G32" s="37">
        <f t="shared" si="6"/>
        <v>20000</v>
      </c>
      <c r="H32" s="37">
        <f t="shared" si="0"/>
        <v>200</v>
      </c>
      <c r="I32" s="28"/>
      <c r="J32" s="29">
        <v>13000</v>
      </c>
      <c r="K32" s="37">
        <f t="shared" si="2"/>
        <v>130</v>
      </c>
      <c r="L32" s="37">
        <f t="shared" si="4"/>
        <v>13000</v>
      </c>
      <c r="M32" s="37">
        <f t="shared" si="2"/>
        <v>130</v>
      </c>
      <c r="N32" s="28"/>
      <c r="O32" s="40">
        <v>15000</v>
      </c>
      <c r="P32" s="37">
        <f t="shared" si="3"/>
        <v>150</v>
      </c>
      <c r="Q32" s="37">
        <f t="shared" si="5"/>
        <v>15000</v>
      </c>
      <c r="R32" s="37">
        <f t="shared" si="3"/>
        <v>150</v>
      </c>
    </row>
    <row r="33" spans="1:18" ht="12.75">
      <c r="A33" s="26"/>
      <c r="B33" s="26" t="s">
        <v>47</v>
      </c>
      <c r="C33" s="32">
        <v>0.01</v>
      </c>
      <c r="D33" s="32"/>
      <c r="E33" s="37">
        <v>3900</v>
      </c>
      <c r="F33" s="37">
        <f t="shared" si="0"/>
        <v>39</v>
      </c>
      <c r="G33" s="37">
        <f t="shared" si="6"/>
        <v>3900</v>
      </c>
      <c r="H33" s="37">
        <f t="shared" si="0"/>
        <v>39</v>
      </c>
      <c r="I33" s="28"/>
      <c r="J33" s="29">
        <v>3000</v>
      </c>
      <c r="K33" s="37">
        <f t="shared" si="2"/>
        <v>30</v>
      </c>
      <c r="L33" s="37">
        <f t="shared" si="4"/>
        <v>3000</v>
      </c>
      <c r="M33" s="37">
        <f t="shared" si="2"/>
        <v>30</v>
      </c>
      <c r="N33" s="28"/>
      <c r="O33" s="40">
        <v>2600</v>
      </c>
      <c r="P33" s="37">
        <f t="shared" si="3"/>
        <v>26</v>
      </c>
      <c r="Q33" s="37">
        <f t="shared" si="5"/>
        <v>2600</v>
      </c>
      <c r="R33" s="37">
        <f t="shared" si="3"/>
        <v>26</v>
      </c>
    </row>
    <row r="34" spans="1:18" ht="12.75">
      <c r="A34" s="26"/>
      <c r="B34" s="26" t="s">
        <v>246</v>
      </c>
      <c r="C34" s="32">
        <v>0</v>
      </c>
      <c r="D34" s="32"/>
      <c r="E34" s="37">
        <v>32000</v>
      </c>
      <c r="F34" s="37">
        <f t="shared" si="0"/>
        <v>0</v>
      </c>
      <c r="G34" s="37">
        <f t="shared" si="6"/>
        <v>32000</v>
      </c>
      <c r="H34" s="37">
        <f t="shared" si="0"/>
        <v>0</v>
      </c>
      <c r="I34" s="28"/>
      <c r="J34" s="29">
        <v>22000</v>
      </c>
      <c r="K34" s="37">
        <f t="shared" si="2"/>
        <v>0</v>
      </c>
      <c r="L34" s="37">
        <f t="shared" si="4"/>
        <v>22000</v>
      </c>
      <c r="M34" s="37">
        <f t="shared" si="2"/>
        <v>0</v>
      </c>
      <c r="N34" s="28"/>
      <c r="O34" s="40">
        <v>23000</v>
      </c>
      <c r="P34" s="37">
        <f t="shared" si="3"/>
        <v>0</v>
      </c>
      <c r="Q34" s="37">
        <f t="shared" si="5"/>
        <v>23000</v>
      </c>
      <c r="R34" s="37">
        <f t="shared" si="3"/>
        <v>0</v>
      </c>
    </row>
    <row r="35" spans="1:18" ht="12.75">
      <c r="A35" s="26"/>
      <c r="B35" s="26" t="s">
        <v>48</v>
      </c>
      <c r="C35" s="32">
        <v>0.001</v>
      </c>
      <c r="D35" s="32"/>
      <c r="E35" s="37">
        <v>140000</v>
      </c>
      <c r="F35" s="37">
        <f t="shared" si="0"/>
        <v>140</v>
      </c>
      <c r="G35" s="37">
        <f t="shared" si="6"/>
        <v>140000</v>
      </c>
      <c r="H35" s="37">
        <f t="shared" si="0"/>
        <v>140</v>
      </c>
      <c r="I35" s="28"/>
      <c r="J35" s="29">
        <v>130000</v>
      </c>
      <c r="K35" s="37">
        <f t="shared" si="2"/>
        <v>130</v>
      </c>
      <c r="L35" s="37">
        <f t="shared" si="4"/>
        <v>130000</v>
      </c>
      <c r="M35" s="37">
        <f t="shared" si="2"/>
        <v>130</v>
      </c>
      <c r="N35" s="28"/>
      <c r="O35" s="40">
        <v>110000</v>
      </c>
      <c r="P35" s="37">
        <f t="shared" si="3"/>
        <v>110</v>
      </c>
      <c r="Q35" s="37">
        <f t="shared" si="5"/>
        <v>110000</v>
      </c>
      <c r="R35" s="37">
        <f t="shared" si="3"/>
        <v>110</v>
      </c>
    </row>
    <row r="36" spans="1:18" ht="12.75">
      <c r="A36" s="26"/>
      <c r="B36" s="26"/>
      <c r="C36" s="26"/>
      <c r="D36" s="26"/>
      <c r="E36" s="38"/>
      <c r="F36" s="28"/>
      <c r="G36" s="38"/>
      <c r="H36" s="28"/>
      <c r="I36" s="38"/>
      <c r="J36" s="29"/>
      <c r="K36" s="36"/>
      <c r="L36" s="36"/>
      <c r="M36" s="36"/>
      <c r="N36" s="38"/>
      <c r="O36" s="29"/>
      <c r="P36" s="27"/>
      <c r="Q36" s="38"/>
      <c r="R36" s="27"/>
    </row>
    <row r="37" spans="1:18" ht="12.75">
      <c r="A37" s="26"/>
      <c r="B37" s="26" t="s">
        <v>49</v>
      </c>
      <c r="C37" s="26"/>
      <c r="D37" s="26"/>
      <c r="E37" s="38"/>
      <c r="F37" s="38">
        <v>146.751</v>
      </c>
      <c r="G37" s="38">
        <v>146.751</v>
      </c>
      <c r="H37" s="38">
        <v>146.751</v>
      </c>
      <c r="I37" s="38"/>
      <c r="J37" s="38"/>
      <c r="K37" s="38">
        <v>153.765</v>
      </c>
      <c r="L37" s="38">
        <v>153.765</v>
      </c>
      <c r="M37" s="38">
        <v>153.765</v>
      </c>
      <c r="N37" s="38"/>
      <c r="O37" s="38"/>
      <c r="P37" s="36">
        <v>146.8</v>
      </c>
      <c r="Q37" s="36">
        <v>146.8</v>
      </c>
      <c r="R37" s="36">
        <v>146.8</v>
      </c>
    </row>
    <row r="38" spans="1:18" ht="12.75">
      <c r="A38" s="26"/>
      <c r="B38" s="26" t="s">
        <v>111</v>
      </c>
      <c r="C38" s="26"/>
      <c r="D38" s="26"/>
      <c r="E38" s="38"/>
      <c r="F38" s="38">
        <v>10.3</v>
      </c>
      <c r="G38" s="38">
        <v>10.3</v>
      </c>
      <c r="H38" s="38">
        <v>10.3</v>
      </c>
      <c r="I38" s="38"/>
      <c r="J38" s="38"/>
      <c r="K38" s="36">
        <v>10.5</v>
      </c>
      <c r="L38" s="36">
        <v>10.5</v>
      </c>
      <c r="M38" s="36">
        <v>10.5</v>
      </c>
      <c r="N38" s="38"/>
      <c r="O38" s="38"/>
      <c r="P38" s="36">
        <v>10.4</v>
      </c>
      <c r="Q38" s="36">
        <v>10.4</v>
      </c>
      <c r="R38" s="36">
        <v>10.4</v>
      </c>
    </row>
    <row r="39" spans="1:18" ht="12.75">
      <c r="A39" s="26"/>
      <c r="B39" s="26"/>
      <c r="C39" s="26"/>
      <c r="D39" s="26"/>
      <c r="E39" s="38"/>
      <c r="F39" s="29"/>
      <c r="G39" s="38"/>
      <c r="H39" s="29"/>
      <c r="I39" s="29"/>
      <c r="J39" s="38"/>
      <c r="K39" s="41"/>
      <c r="L39" s="36"/>
      <c r="M39" s="41"/>
      <c r="N39" s="38"/>
      <c r="O39" s="38"/>
      <c r="P39" s="38"/>
      <c r="Q39" s="38"/>
      <c r="R39" s="38"/>
    </row>
    <row r="40" spans="1:18" ht="12.75">
      <c r="A40" s="26"/>
      <c r="B40" s="26" t="s">
        <v>71</v>
      </c>
      <c r="C40" s="28"/>
      <c r="D40" s="28"/>
      <c r="E40" s="36"/>
      <c r="F40" s="38">
        <f>SUM(F11:F35)</f>
        <v>1824.8</v>
      </c>
      <c r="G40" s="36">
        <f>SUM(G35,G34,G31,G26,G23,G21,G20,G18,G14,G12)</f>
        <v>194708</v>
      </c>
      <c r="H40" s="38">
        <f>SUM(H11:H35)</f>
        <v>1824.8</v>
      </c>
      <c r="I40" s="28"/>
      <c r="J40" s="36"/>
      <c r="K40" s="36">
        <f>SUM(K11:K35)</f>
        <v>1842</v>
      </c>
      <c r="L40" s="36">
        <f>SUM(L35,L34,L31,L26,L23,L21,L20,L18,L14,L12)</f>
        <v>174774</v>
      </c>
      <c r="M40" s="36">
        <f>SUM(M11:M35)</f>
        <v>1842</v>
      </c>
      <c r="N40" s="28"/>
      <c r="O40" s="38"/>
      <c r="P40" s="38">
        <f>SUM(P11:P35)</f>
        <v>1430.9</v>
      </c>
      <c r="Q40" s="36">
        <f>SUM(Q35,Q34,Q31,Q26,Q23,Q21,Q20,Q18,Q14,Q12)</f>
        <v>150490</v>
      </c>
      <c r="R40" s="38">
        <f>SUM(R11:R35)</f>
        <v>1430.9</v>
      </c>
    </row>
    <row r="41" spans="1:18" ht="12.75">
      <c r="A41" s="26"/>
      <c r="B41" s="26" t="s">
        <v>50</v>
      </c>
      <c r="C41" s="28"/>
      <c r="D41" s="36">
        <f>(F41-H41)*2/F41*100</f>
        <v>0</v>
      </c>
      <c r="E41" s="38"/>
      <c r="F41" s="38">
        <f>(F40/F37/0.0283*(21-7)/(21-F38))/1000</f>
        <v>0.5748996250654258</v>
      </c>
      <c r="G41" s="38">
        <f>(G40/G37/0.0283*(21-7)/(21-G38))/1000</f>
        <v>61.34236968283589</v>
      </c>
      <c r="H41" s="38">
        <f>(H40/H37/0.0283*(21-7)/(21-H38))/1000</f>
        <v>0.5748996250654258</v>
      </c>
      <c r="I41" s="36">
        <f>(K41-M41)*2/K41*100</f>
        <v>0</v>
      </c>
      <c r="J41" s="38"/>
      <c r="K41" s="38">
        <f>K40/K37/0.0283*(21-7)/(21-K38)/1000</f>
        <v>0.5643966591670393</v>
      </c>
      <c r="L41" s="38">
        <f>(L40/L37/0.0283*(21-7)/(21-L38))/1000</f>
        <v>53.551499299272606</v>
      </c>
      <c r="M41" s="38">
        <f>M40/M37/0.0283*(21-7)/(21-M38)/1000</f>
        <v>0.5643966591670393</v>
      </c>
      <c r="N41" s="36">
        <f>(P41-R41)*2/P41*100</f>
        <v>0</v>
      </c>
      <c r="O41" s="38"/>
      <c r="P41" s="38">
        <f>P40/P37/0.0283*(21-7)/(21-P38)/1000</f>
        <v>0.4549031697481013</v>
      </c>
      <c r="Q41" s="38">
        <f>(Q40/Q37/0.0283*(21-7)/(21-Q38))/1000</f>
        <v>47.84288071520844</v>
      </c>
      <c r="R41" s="38">
        <f>R40/R37/0.0283*(21-7)/(21-R38)/1000</f>
        <v>0.4549031697481013</v>
      </c>
    </row>
    <row r="42" spans="1:18" ht="12.75">
      <c r="A42" s="26"/>
      <c r="B42" s="26"/>
      <c r="C42" s="26"/>
      <c r="D42" s="26"/>
      <c r="E42" s="42"/>
      <c r="F42" s="28"/>
      <c r="G42" s="42"/>
      <c r="H42" s="28"/>
      <c r="I42" s="42"/>
      <c r="J42" s="42"/>
      <c r="K42" s="42"/>
      <c r="L42" s="42"/>
      <c r="M42" s="42"/>
      <c r="N42" s="42"/>
      <c r="O42" s="42"/>
      <c r="P42" s="27"/>
      <c r="Q42" s="42"/>
      <c r="R42" s="27"/>
    </row>
    <row r="43" spans="1:18" ht="12.75">
      <c r="A43" s="26"/>
      <c r="B43" s="26" t="s">
        <v>112</v>
      </c>
      <c r="C43" s="38">
        <f>AVERAGE(H41,M41,R41)</f>
        <v>0.5313998179935221</v>
      </c>
      <c r="D43" s="26"/>
      <c r="E43" s="27"/>
      <c r="F43" s="28"/>
      <c r="G43" s="27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6"/>
      <c r="B44" s="26" t="s">
        <v>113</v>
      </c>
      <c r="C44" s="36">
        <f>AVERAGE(G41,L41,Q41)</f>
        <v>54.24558323243898</v>
      </c>
      <c r="D44" s="26"/>
      <c r="E44" s="26"/>
      <c r="F44" s="28"/>
      <c r="G44" s="26"/>
      <c r="H44" s="28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2.75">
      <c r="A45" s="26"/>
      <c r="B45" s="26"/>
      <c r="C45" s="26"/>
      <c r="D45" s="26"/>
      <c r="E45" s="26"/>
      <c r="F45" s="28"/>
      <c r="G45" s="26"/>
      <c r="H45" s="28"/>
      <c r="I45" s="26"/>
      <c r="J45" s="26"/>
      <c r="K45" s="26"/>
      <c r="L45" s="26"/>
      <c r="M45" s="26"/>
      <c r="N45" s="26"/>
      <c r="O45" s="26"/>
      <c r="P45" s="26"/>
      <c r="Q45" s="26"/>
      <c r="R45" s="2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2004-02-24T22:44:51Z</cp:lastPrinted>
  <dcterms:created xsi:type="dcterms:W3CDTF">2000-01-10T00:44:42Z</dcterms:created>
  <dcterms:modified xsi:type="dcterms:W3CDTF">2004-02-24T22:44:56Z</dcterms:modified>
  <cp:category/>
  <cp:version/>
  <cp:contentType/>
  <cp:contentStatus/>
</cp:coreProperties>
</file>