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df c4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<sst xmlns="http://schemas.openxmlformats.org/spreadsheetml/2006/main" count="887" uniqueCount="225">
  <si>
    <t>EPA ID No.</t>
  </si>
  <si>
    <t>Facility Name</t>
  </si>
  <si>
    <t>E.I. Du Pont De Nemours &amp; Company, Inc.</t>
  </si>
  <si>
    <t>Facility Location</t>
  </si>
  <si>
    <t xml:space="preserve">    City</t>
  </si>
  <si>
    <t>Victoria</t>
  </si>
  <si>
    <t xml:space="preserve">    State</t>
  </si>
  <si>
    <t>TX</t>
  </si>
  <si>
    <t>Unit ID Name/No.</t>
  </si>
  <si>
    <t>Other Sister Facilities</t>
  </si>
  <si>
    <t>None</t>
  </si>
  <si>
    <t>APCS Characteristics</t>
  </si>
  <si>
    <t>Liquid wastes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</si>
  <si>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</si>
  <si>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</si>
  <si>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</si>
  <si>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</si>
  <si>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</si>
  <si>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</si>
  <si>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</si>
  <si>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>June 26-27, 1995</t>
  </si>
  <si>
    <t xml:space="preserve">    Condition Descr</t>
  </si>
  <si>
    <t xml:space="preserve">    Content</t>
  </si>
  <si>
    <t>June 27-28, 1995</t>
  </si>
  <si>
    <t>Units</t>
  </si>
  <si>
    <t>PM</t>
  </si>
  <si>
    <t>gr/dscf</t>
  </si>
  <si>
    <t>y</t>
  </si>
  <si>
    <t>n</t>
  </si>
  <si>
    <t>dscfm</t>
  </si>
  <si>
    <t>%</t>
  </si>
  <si>
    <t>°F</t>
  </si>
  <si>
    <t>Cond Avg</t>
  </si>
  <si>
    <t>Spike</t>
  </si>
  <si>
    <t>Ash</t>
  </si>
  <si>
    <t>g/hr</t>
  </si>
  <si>
    <t>nd</t>
  </si>
  <si>
    <t>2013C1</t>
  </si>
  <si>
    <t>2013C2</t>
  </si>
  <si>
    <t>Combustor Characteristics</t>
  </si>
  <si>
    <t>Liq waste</t>
  </si>
  <si>
    <t>Source Emission Survey of E.I. Du Pont De Nemours &amp; Company, Inc. Boiler 3 and 4 Stack, June 1995</t>
  </si>
  <si>
    <t xml:space="preserve">    Testing Dates</t>
  </si>
  <si>
    <t>lb/hr</t>
  </si>
  <si>
    <t>Boiler Nos. 3 &amp; 4</t>
  </si>
  <si>
    <t>METCO Env</t>
  </si>
  <si>
    <t>February 15-16, 1999</t>
  </si>
  <si>
    <t>Monochlorobenzene DRE</t>
  </si>
  <si>
    <t>?</t>
  </si>
  <si>
    <t>2013C3</t>
  </si>
  <si>
    <t>POHC DRE</t>
  </si>
  <si>
    <t>&gt;</t>
  </si>
  <si>
    <t>Oxygen</t>
  </si>
  <si>
    <t>HCl</t>
  </si>
  <si>
    <t>Cl2</t>
  </si>
  <si>
    <t>ppmv</t>
  </si>
  <si>
    <t>ug/dscm</t>
  </si>
  <si>
    <t>I-TEF</t>
  </si>
  <si>
    <t>Run 1</t>
  </si>
  <si>
    <t>Run 2</t>
  </si>
  <si>
    <t>Wght Fact</t>
  </si>
  <si>
    <t>Total</t>
  </si>
  <si>
    <t xml:space="preserve"> TEQ</t>
  </si>
  <si>
    <t>TEQ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</si>
  <si>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</si>
  <si>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</si>
  <si>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</si>
  <si>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</si>
  <si>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</si>
  <si>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</si>
  <si>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</si>
  <si>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</si>
  <si>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</si>
  <si>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</si>
  <si>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</si>
  <si>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</si>
  <si>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</si>
  <si>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</si>
  <si>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</si>
  <si>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</si>
  <si>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</si>
  <si>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PCDD/PCDF (ng/dscm @ 7% O2)</t>
  </si>
  <si>
    <t>Stack Gas ng/dscm @ 7% O2</t>
  </si>
  <si>
    <t>TCDD Total</t>
  </si>
  <si>
    <t>PCDD Total</t>
  </si>
  <si>
    <t>HxCDD Total</t>
  </si>
  <si>
    <t>HpCDD Total</t>
  </si>
  <si>
    <t>TCDF Total</t>
  </si>
  <si>
    <t>PCDF Total</t>
  </si>
  <si>
    <t>HxCDF Total</t>
  </si>
  <si>
    <t>HpCDF Total</t>
  </si>
  <si>
    <t>Run 4</t>
  </si>
  <si>
    <t>2013C4</t>
  </si>
  <si>
    <t>NVR Waste</t>
  </si>
  <si>
    <t>Chlorine</t>
  </si>
  <si>
    <t>Heating Value</t>
  </si>
  <si>
    <t>Btu/lb</t>
  </si>
  <si>
    <t>wt %</t>
  </si>
  <si>
    <t>ppmw</t>
  </si>
  <si>
    <t>Density</t>
  </si>
  <si>
    <t>g/mL</t>
  </si>
  <si>
    <t>Viscosity</t>
  </si>
  <si>
    <t>cSt</t>
  </si>
  <si>
    <t>ADN/LBW</t>
  </si>
  <si>
    <t>C12 WFE</t>
  </si>
  <si>
    <t>A Waste Oil</t>
  </si>
  <si>
    <t>February 8-12, 1999</t>
  </si>
  <si>
    <t>Gas Flowrate</t>
  </si>
  <si>
    <t>Dupont Risk Burn, Boiler No. 3 Stack, Victoria, TX, Feb. 1999</t>
  </si>
  <si>
    <t>mg/dscm</t>
  </si>
  <si>
    <t>Estimated Firing Rate</t>
  </si>
  <si>
    <t>MMBtu/hr</t>
  </si>
  <si>
    <t>Stack Gas Flowrate</t>
  </si>
  <si>
    <t>TXD008123317</t>
  </si>
  <si>
    <t>Stack Gas Emissions</t>
  </si>
  <si>
    <t>HW</t>
  </si>
  <si>
    <t>SVM</t>
  </si>
  <si>
    <t>LVM</t>
  </si>
  <si>
    <t>DRE</t>
  </si>
  <si>
    <t>µg/dscm</t>
  </si>
  <si>
    <t>Liq</t>
  </si>
  <si>
    <t>Trial burn; DRE</t>
  </si>
  <si>
    <t>CoC</t>
  </si>
  <si>
    <t>can't calculate; need feedrates of waste</t>
  </si>
  <si>
    <t>TEQ Cond Avg</t>
  </si>
  <si>
    <t>Total Cond Avg</t>
  </si>
  <si>
    <t>PCDD/PCDF</t>
  </si>
  <si>
    <t>1/2 ND</t>
  </si>
  <si>
    <t>Risk burn, normal op cond w/ Cr spike</t>
  </si>
  <si>
    <t>Hazardous Wastes</t>
  </si>
  <si>
    <t>Haz Waste Description</t>
  </si>
  <si>
    <t>Supplemental Fuel</t>
  </si>
  <si>
    <t>Capacity (MMBtu/hr)</t>
  </si>
  <si>
    <t>Feedstreams</t>
  </si>
  <si>
    <t>Feedrate MTEC Calculations</t>
  </si>
  <si>
    <t>Phase II ID No.</t>
  </si>
  <si>
    <t>Source Description</t>
  </si>
  <si>
    <t xml:space="preserve">    Gas Velocity (ft/sec)</t>
  </si>
  <si>
    <t xml:space="preserve">    Gas Temperature (°F)</t>
  </si>
  <si>
    <t>Tier I for metals, Cl (except Cr+6 Tier III)</t>
  </si>
  <si>
    <t>7% O2</t>
  </si>
  <si>
    <t>Chlorobenzene</t>
  </si>
  <si>
    <t>PM, Cr+6/Cr</t>
  </si>
  <si>
    <t>PCDD/PCDF, PM, PSD, HCl/Cl2, Cr+6</t>
  </si>
  <si>
    <t>Particle Size Distribution</t>
  </si>
  <si>
    <t>Median Size</t>
  </si>
  <si>
    <t>microns</t>
  </si>
  <si>
    <t>&lt;</t>
  </si>
  <si>
    <t>Dupont DRE Burn, Boiler No. 3 Stack, Victoria, TX, Feb. 1999</t>
  </si>
  <si>
    <t>Soot Blowing</t>
  </si>
  <si>
    <t>% wt</t>
  </si>
  <si>
    <t xml:space="preserve">   Temperature</t>
  </si>
  <si>
    <t xml:space="preserve">   Stack Gas Flowrate</t>
  </si>
  <si>
    <t>Comments</t>
  </si>
  <si>
    <t>Cr/Cr+6</t>
  </si>
  <si>
    <t>POHC</t>
  </si>
  <si>
    <t>PM, HCl/Cl2</t>
  </si>
  <si>
    <t>Cr+6</t>
  </si>
  <si>
    <t>POHC Feedrate</t>
  </si>
  <si>
    <t xml:space="preserve">   O2</t>
  </si>
  <si>
    <t xml:space="preserve">   Moisture</t>
  </si>
  <si>
    <t>in microns</t>
  </si>
  <si>
    <t>&lt;2</t>
  </si>
  <si>
    <t>&lt;10</t>
  </si>
  <si>
    <t>Emissions Rate</t>
  </si>
  <si>
    <t>Total Chlorine</t>
  </si>
  <si>
    <t>Chromium</t>
  </si>
  <si>
    <t>Sampling Train</t>
  </si>
  <si>
    <t>Arsenic</t>
  </si>
  <si>
    <t>Barium</t>
  </si>
  <si>
    <t>Beryllium</t>
  </si>
  <si>
    <t>Vanadium</t>
  </si>
  <si>
    <t>Thallium</t>
  </si>
  <si>
    <t>Antimony</t>
  </si>
  <si>
    <t>Lead</t>
  </si>
  <si>
    <t>Nickel</t>
  </si>
  <si>
    <t>Cadmium</t>
  </si>
  <si>
    <t>Silver</t>
  </si>
  <si>
    <t>Feedstream Description</t>
  </si>
  <si>
    <t>*</t>
  </si>
  <si>
    <t>Thermal Feedrate</t>
  </si>
  <si>
    <t>Mercury</t>
  </si>
  <si>
    <t>Cobalt</t>
  </si>
  <si>
    <t>Manganese</t>
  </si>
  <si>
    <t>Molybdenum</t>
  </si>
  <si>
    <t>HWC Burn Status (Date if Terminated)</t>
  </si>
  <si>
    <t xml:space="preserve">    Cond Dates</t>
  </si>
  <si>
    <t>Liquid-fired boiler</t>
  </si>
  <si>
    <t>Cond Description</t>
  </si>
  <si>
    <t>R1</t>
  </si>
  <si>
    <t>R2</t>
  </si>
  <si>
    <t>R3</t>
  </si>
  <si>
    <t>E1</t>
  </si>
  <si>
    <t>E2</t>
  </si>
  <si>
    <t>Chromium (Hex)</t>
  </si>
  <si>
    <t xml:space="preserve">LVM </t>
  </si>
  <si>
    <t>(Cr only)</t>
  </si>
  <si>
    <t>Number of Sister Facilities</t>
  </si>
  <si>
    <t>APCS Detailed Acronym</t>
  </si>
  <si>
    <t>APCS General Class</t>
  </si>
  <si>
    <t>Combustor Class</t>
  </si>
  <si>
    <t>Combustor Type</t>
  </si>
  <si>
    <t>source</t>
  </si>
  <si>
    <t>cond</t>
  </si>
  <si>
    <t>emiss</t>
  </si>
  <si>
    <t>feed</t>
  </si>
  <si>
    <t>Liquid-fired</t>
  </si>
  <si>
    <t>Feedstream Number</t>
  </si>
  <si>
    <t>Feed Class</t>
  </si>
  <si>
    <t>F1</t>
  </si>
  <si>
    <t>Liq HW</t>
  </si>
  <si>
    <t>F2</t>
  </si>
  <si>
    <t>F3</t>
  </si>
  <si>
    <t>F4</t>
  </si>
  <si>
    <t>F5</t>
  </si>
  <si>
    <t>Feed Class 2</t>
  </si>
  <si>
    <t>Selenium</t>
  </si>
  <si>
    <t>Full ND</t>
  </si>
  <si>
    <t>df c4</t>
  </si>
  <si>
    <t>Condition ID:</t>
  </si>
  <si>
    <t xml:space="preserve">Condition/Test Date:  </t>
  </si>
  <si>
    <t>Risk burn, normal conditions, February, 1999</t>
  </si>
  <si>
    <t xml:space="preserve">Facility Name and ID: </t>
  </si>
  <si>
    <t>DuPont, Victoria, TX, Boiler Nos. 3 and 4</t>
  </si>
  <si>
    <t>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</si>
</sst>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000000"/>
    <numFmt numFmtId="173" formatCode="0.000000000"/>
    <numFmt numFmtId="174" formatCode="0.00000000"/>
    <numFmt numFmtId="175" formatCode="0.000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right"/>
    </xf>
    <xf numFmtId="17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2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D7" sqref="D7"/>
    </sheetView>
  </sheetViews>
  <sheetFormatPr defaultColWidth="9.140625" defaultRowHeight="12.75"/>
  <sheetData>
    <row r="1" ht="12.75">
      <c r="A1" t="s">
        <v>202</v>
      </c>
    </row>
    <row r="2" ht="12.75">
      <c r="A2" t="s">
        <v>203</v>
      </c>
    </row>
    <row r="3" ht="12.75">
      <c r="A3" t="s">
        <v>204</v>
      </c>
    </row>
    <row r="4" ht="12.75">
      <c r="A4" t="s">
        <v>205</v>
      </c>
    </row>
    <row r="5" ht="12.75">
      <c r="A5" t="s">
        <v>218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tabSelected="1" workbookViewId="0" topLeftCell="B1">
      <selection activeCell="B2" sqref="B2"/>
    </sheetView>
  </sheetViews>
  <sheetFormatPr defaultColWidth="9.140625" defaultRowHeight="12.75"/>
  <cols>
    <col min="1" max="1" width="9.140625" style="1" hidden="1" customWidth="1"/>
    <col min="2" max="2" width="27.7109375" style="1" customWidth="1"/>
    <col min="3" max="3" width="48.28125" style="1" customWidth="1"/>
    <col min="4" max="16384" width="8.8515625" style="1" customWidth="1"/>
  </cols>
  <sheetData>
    <row r="1" ht="12.75">
      <c r="B1" s="4" t="s">
        <v>136</v>
      </c>
    </row>
    <row r="3" spans="2:3" ht="12.75">
      <c r="B3" s="1" t="s">
        <v>135</v>
      </c>
      <c r="C3" s="2">
        <v>2013</v>
      </c>
    </row>
    <row r="4" spans="2:3" ht="12.75">
      <c r="B4" s="1" t="s">
        <v>0</v>
      </c>
      <c r="C4" s="1" t="s">
        <v>113</v>
      </c>
    </row>
    <row r="5" spans="2:3" ht="12.75">
      <c r="B5" s="1" t="s">
        <v>1</v>
      </c>
      <c r="C5" s="1" t="s">
        <v>2</v>
      </c>
    </row>
    <row r="6" ht="12.75">
      <c r="B6" s="1" t="s">
        <v>3</v>
      </c>
    </row>
    <row r="7" spans="2:3" ht="12.75">
      <c r="B7" s="1" t="s">
        <v>4</v>
      </c>
      <c r="C7" s="1" t="s">
        <v>5</v>
      </c>
    </row>
    <row r="8" spans="2:3" ht="12.75">
      <c r="B8" s="1" t="s">
        <v>6</v>
      </c>
      <c r="C8" s="1" t="s">
        <v>7</v>
      </c>
    </row>
    <row r="9" spans="2:3" ht="12.75">
      <c r="B9" s="1" t="s">
        <v>8</v>
      </c>
      <c r="C9" s="1" t="s">
        <v>44</v>
      </c>
    </row>
    <row r="10" spans="2:3" ht="12.75">
      <c r="B10" s="1" t="s">
        <v>9</v>
      </c>
      <c r="C10" s="1" t="s">
        <v>10</v>
      </c>
    </row>
    <row r="11" spans="2:3" ht="12.75">
      <c r="B11" s="1" t="s">
        <v>197</v>
      </c>
      <c r="C11" s="2">
        <v>0</v>
      </c>
    </row>
    <row r="12" spans="2:3" ht="12.75">
      <c r="B12" s="1" t="s">
        <v>200</v>
      </c>
      <c r="C12" s="1" t="s">
        <v>187</v>
      </c>
    </row>
    <row r="13" spans="2:3" ht="12.75">
      <c r="B13" s="1" t="s">
        <v>201</v>
      </c>
      <c r="C13" s="1" t="s">
        <v>206</v>
      </c>
    </row>
    <row r="14" ht="12.75">
      <c r="B14" s="1" t="s">
        <v>39</v>
      </c>
    </row>
    <row r="15" spans="2:3" ht="12.75">
      <c r="B15" s="1" t="s">
        <v>132</v>
      </c>
      <c r="C15" s="2">
        <v>1000</v>
      </c>
    </row>
    <row r="16" spans="2:3" ht="12.75">
      <c r="B16" s="1" t="s">
        <v>149</v>
      </c>
      <c r="C16" s="1" t="s">
        <v>10</v>
      </c>
    </row>
    <row r="17" ht="12.75">
      <c r="B17" s="1" t="s">
        <v>198</v>
      </c>
    </row>
    <row r="18" ht="12.75">
      <c r="B18" s="1" t="s">
        <v>199</v>
      </c>
    </row>
    <row r="19" ht="12.75">
      <c r="B19" s="1" t="s">
        <v>11</v>
      </c>
    </row>
    <row r="20" spans="2:3" ht="12.75">
      <c r="B20" s="1" t="s">
        <v>129</v>
      </c>
      <c r="C20" s="1" t="s">
        <v>120</v>
      </c>
    </row>
    <row r="21" spans="2:3" ht="12.75">
      <c r="B21" s="1" t="s">
        <v>130</v>
      </c>
      <c r="C21" s="1" t="s">
        <v>12</v>
      </c>
    </row>
    <row r="22" spans="2:3" ht="12.75">
      <c r="B22" s="1" t="s">
        <v>131</v>
      </c>
      <c r="C22" s="1" t="s">
        <v>48</v>
      </c>
    </row>
    <row r="23" ht="12.75" customHeight="1"/>
    <row r="24" ht="12.75">
      <c r="B24" s="1" t="s">
        <v>13</v>
      </c>
    </row>
    <row r="25" spans="2:3" ht="12.75">
      <c r="B25" s="1" t="s">
        <v>14</v>
      </c>
      <c r="C25" s="5">
        <f>164/12</f>
        <v>13.666666666666666</v>
      </c>
    </row>
    <row r="26" spans="2:3" ht="12.75">
      <c r="B26" s="1" t="s">
        <v>15</v>
      </c>
      <c r="C26" s="2">
        <v>150</v>
      </c>
    </row>
    <row r="27" spans="2:3" ht="12.75">
      <c r="B27" s="1" t="s">
        <v>137</v>
      </c>
      <c r="C27" s="5">
        <f>3000/60</f>
        <v>50</v>
      </c>
    </row>
    <row r="28" spans="2:3" ht="12.75">
      <c r="B28" s="1" t="s">
        <v>138</v>
      </c>
      <c r="C28" s="2">
        <v>506</v>
      </c>
    </row>
    <row r="29" ht="12.75" customHeight="1"/>
    <row r="30" spans="2:3" ht="12.75">
      <c r="B30" s="1" t="s">
        <v>16</v>
      </c>
      <c r="C30" s="1" t="s">
        <v>139</v>
      </c>
    </row>
    <row r="31" s="44" customFormat="1" ht="25.5">
      <c r="B31" s="44" t="s">
        <v>185</v>
      </c>
    </row>
    <row r="32" ht="12.75" customHeight="1"/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41"/>
  <sheetViews>
    <sheetView workbookViewId="0" topLeftCell="B1">
      <selection activeCell="B1" sqref="A1:IV16384"/>
    </sheetView>
  </sheetViews>
  <sheetFormatPr defaultColWidth="9.140625" defaultRowHeight="12.75"/>
  <cols>
    <col min="1" max="1" width="9.140625" style="1" hidden="1" customWidth="1"/>
    <col min="2" max="2" width="20.7109375" style="1" customWidth="1"/>
    <col min="3" max="3" width="57.140625" style="1" customWidth="1"/>
    <col min="4" max="16384" width="9.140625" style="1" customWidth="1"/>
  </cols>
  <sheetData>
    <row r="1" ht="12.75">
      <c r="B1" s="4" t="s">
        <v>188</v>
      </c>
    </row>
    <row r="3" ht="12.75">
      <c r="B3" s="45" t="s">
        <v>37</v>
      </c>
    </row>
    <row r="4" ht="12.75">
      <c r="B4" s="45"/>
    </row>
    <row r="5" spans="2:3" s="36" customFormat="1" ht="25.5">
      <c r="B5" s="36" t="s">
        <v>17</v>
      </c>
      <c r="C5" s="36" t="s">
        <v>41</v>
      </c>
    </row>
    <row r="6" spans="2:3" ht="12.75">
      <c r="B6" s="1" t="s">
        <v>18</v>
      </c>
      <c r="C6" s="1" t="s">
        <v>45</v>
      </c>
    </row>
    <row r="7" spans="2:3" ht="12.75">
      <c r="B7" s="1" t="s">
        <v>19</v>
      </c>
      <c r="C7" s="1" t="s">
        <v>45</v>
      </c>
    </row>
    <row r="8" spans="2:3" ht="12.75">
      <c r="B8" s="1" t="s">
        <v>42</v>
      </c>
      <c r="C8" s="6" t="s">
        <v>20</v>
      </c>
    </row>
    <row r="9" spans="2:3" ht="12.75">
      <c r="B9" s="1" t="s">
        <v>186</v>
      </c>
      <c r="C9" s="43">
        <v>34851</v>
      </c>
    </row>
    <row r="10" spans="2:3" ht="12.75">
      <c r="B10" s="1" t="s">
        <v>21</v>
      </c>
      <c r="C10" s="1" t="s">
        <v>122</v>
      </c>
    </row>
    <row r="11" spans="2:3" ht="12.75">
      <c r="B11" s="1" t="s">
        <v>22</v>
      </c>
      <c r="C11" s="1" t="s">
        <v>142</v>
      </c>
    </row>
    <row r="13" ht="12.75">
      <c r="B13" s="45" t="s">
        <v>38</v>
      </c>
    </row>
    <row r="14" ht="12.75">
      <c r="B14" s="45"/>
    </row>
    <row r="15" spans="2:3" s="36" customFormat="1" ht="25.5">
      <c r="B15" s="36" t="s">
        <v>17</v>
      </c>
      <c r="C15" s="36" t="s">
        <v>41</v>
      </c>
    </row>
    <row r="16" spans="2:3" ht="12.75">
      <c r="B16" s="1" t="s">
        <v>18</v>
      </c>
      <c r="C16" s="1" t="s">
        <v>45</v>
      </c>
    </row>
    <row r="17" spans="2:3" ht="12.75">
      <c r="B17" s="1" t="s">
        <v>19</v>
      </c>
      <c r="C17" s="1" t="s">
        <v>45</v>
      </c>
    </row>
    <row r="18" spans="2:3" ht="12.75">
      <c r="B18" s="1" t="s">
        <v>42</v>
      </c>
      <c r="C18" s="6" t="s">
        <v>23</v>
      </c>
    </row>
    <row r="19" spans="2:3" ht="12.75">
      <c r="B19" s="1" t="s">
        <v>186</v>
      </c>
      <c r="C19" s="43">
        <v>34851</v>
      </c>
    </row>
    <row r="20" spans="2:3" ht="12.75">
      <c r="B20" s="1" t="s">
        <v>21</v>
      </c>
      <c r="C20" s="1" t="s">
        <v>122</v>
      </c>
    </row>
    <row r="21" spans="2:3" ht="12.75">
      <c r="B21" s="1" t="s">
        <v>22</v>
      </c>
      <c r="C21" s="1" t="s">
        <v>142</v>
      </c>
    </row>
    <row r="23" ht="12.75">
      <c r="B23" s="45" t="s">
        <v>49</v>
      </c>
    </row>
    <row r="24" ht="12.75">
      <c r="B24" s="45"/>
    </row>
    <row r="25" spans="2:3" s="36" customFormat="1" ht="12.75">
      <c r="B25" s="36" t="s">
        <v>17</v>
      </c>
      <c r="C25" s="36" t="s">
        <v>148</v>
      </c>
    </row>
    <row r="26" spans="2:3" ht="12.75">
      <c r="B26" s="1" t="s">
        <v>18</v>
      </c>
      <c r="C26" s="1" t="s">
        <v>45</v>
      </c>
    </row>
    <row r="27" spans="2:3" ht="12.75">
      <c r="B27" s="1" t="s">
        <v>19</v>
      </c>
      <c r="C27" s="1" t="s">
        <v>45</v>
      </c>
    </row>
    <row r="28" spans="2:3" ht="12.75">
      <c r="B28" s="1" t="s">
        <v>42</v>
      </c>
      <c r="C28" s="1" t="s">
        <v>46</v>
      </c>
    </row>
    <row r="29" spans="2:3" ht="12.75">
      <c r="B29" s="1" t="s">
        <v>186</v>
      </c>
      <c r="C29" s="43">
        <v>36192</v>
      </c>
    </row>
    <row r="30" spans="2:3" ht="12.75">
      <c r="B30" s="1" t="s">
        <v>21</v>
      </c>
      <c r="C30" s="1" t="s">
        <v>121</v>
      </c>
    </row>
    <row r="31" spans="2:3" ht="12.75">
      <c r="B31" s="1" t="s">
        <v>22</v>
      </c>
      <c r="C31" s="1" t="s">
        <v>47</v>
      </c>
    </row>
    <row r="33" ht="12.75">
      <c r="B33" s="45" t="s">
        <v>92</v>
      </c>
    </row>
    <row r="34" ht="12.75">
      <c r="B34" s="45"/>
    </row>
    <row r="35" spans="2:3" s="36" customFormat="1" ht="12.75">
      <c r="B35" s="36" t="s">
        <v>17</v>
      </c>
      <c r="C35" s="36" t="s">
        <v>108</v>
      </c>
    </row>
    <row r="36" spans="2:3" ht="12.75">
      <c r="B36" s="1" t="s">
        <v>18</v>
      </c>
      <c r="C36" s="1" t="s">
        <v>45</v>
      </c>
    </row>
    <row r="37" spans="2:3" ht="12.75">
      <c r="B37" s="1" t="s">
        <v>19</v>
      </c>
      <c r="C37" s="1" t="s">
        <v>45</v>
      </c>
    </row>
    <row r="38" spans="2:3" ht="12.75">
      <c r="B38" s="1" t="s">
        <v>42</v>
      </c>
      <c r="C38" s="1" t="s">
        <v>106</v>
      </c>
    </row>
    <row r="39" spans="2:3" ht="12.75">
      <c r="B39" s="1" t="s">
        <v>186</v>
      </c>
      <c r="C39" s="43">
        <v>36192</v>
      </c>
    </row>
    <row r="40" spans="2:3" ht="12.75">
      <c r="B40" s="1" t="s">
        <v>21</v>
      </c>
      <c r="C40" s="1" t="s">
        <v>128</v>
      </c>
    </row>
    <row r="41" spans="2:3" ht="12.75">
      <c r="B41" s="1" t="s">
        <v>22</v>
      </c>
      <c r="C41" s="1" t="s">
        <v>143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99"/>
  <sheetViews>
    <sheetView zoomScale="75" zoomScaleNormal="75" workbookViewId="0" topLeftCell="B1">
      <selection activeCell="O47" sqref="O47"/>
    </sheetView>
  </sheetViews>
  <sheetFormatPr defaultColWidth="9.140625" defaultRowHeight="12.75"/>
  <cols>
    <col min="1" max="1" width="6.7109375" style="9" hidden="1" customWidth="1"/>
    <col min="2" max="2" width="21.140625" style="9" customWidth="1"/>
    <col min="3" max="3" width="10.140625" style="9" customWidth="1"/>
    <col min="4" max="4" width="8.8515625" style="8" customWidth="1"/>
    <col min="5" max="5" width="5.28125" style="8" customWidth="1"/>
    <col min="6" max="6" width="2.7109375" style="8" customWidth="1"/>
    <col min="7" max="7" width="8.8515625" style="9" customWidth="1"/>
    <col min="8" max="8" width="2.7109375" style="9" customWidth="1"/>
    <col min="9" max="9" width="8.8515625" style="9" customWidth="1"/>
    <col min="10" max="10" width="2.8515625" style="9" customWidth="1"/>
    <col min="11" max="11" width="8.8515625" style="9" customWidth="1"/>
    <col min="12" max="12" width="2.8515625" style="9" customWidth="1"/>
    <col min="13" max="13" width="9.57421875" style="9" customWidth="1"/>
    <col min="14" max="31" width="8.8515625" style="0" customWidth="1"/>
    <col min="32" max="16384" width="8.8515625" style="9" customWidth="1"/>
  </cols>
  <sheetData>
    <row r="1" spans="2:3" ht="12.75">
      <c r="B1" s="7" t="s">
        <v>114</v>
      </c>
      <c r="C1" s="7"/>
    </row>
    <row r="2" spans="2:13" ht="12.75">
      <c r="B2" s="10"/>
      <c r="C2" s="10"/>
      <c r="G2" s="10"/>
      <c r="H2" s="10"/>
      <c r="I2" s="10"/>
      <c r="J2" s="10"/>
      <c r="K2" s="10"/>
      <c r="L2" s="10"/>
      <c r="M2" s="10"/>
    </row>
    <row r="3" spans="2:5" ht="12.75">
      <c r="B3" s="1"/>
      <c r="C3" s="1" t="s">
        <v>153</v>
      </c>
      <c r="D3" s="8" t="s">
        <v>24</v>
      </c>
      <c r="E3" s="8" t="s">
        <v>140</v>
      </c>
    </row>
    <row r="4" spans="2:13" ht="12.75">
      <c r="B4" s="1"/>
      <c r="C4" s="1"/>
      <c r="G4" s="10"/>
      <c r="H4" s="10"/>
      <c r="I4" s="10"/>
      <c r="J4" s="10"/>
      <c r="K4" s="10"/>
      <c r="L4" s="10"/>
      <c r="M4" s="10"/>
    </row>
    <row r="5" spans="2:13" ht="12.75">
      <c r="B5" s="1"/>
      <c r="C5" s="1"/>
      <c r="G5" s="10"/>
      <c r="H5" s="10"/>
      <c r="I5" s="10"/>
      <c r="J5" s="10"/>
      <c r="K5" s="10"/>
      <c r="L5" s="10"/>
      <c r="M5" s="10"/>
    </row>
    <row r="6" spans="1:13" ht="12.75">
      <c r="A6" s="9">
        <v>1</v>
      </c>
      <c r="B6" s="11" t="s">
        <v>37</v>
      </c>
      <c r="C6" s="11"/>
      <c r="G6" s="10" t="s">
        <v>189</v>
      </c>
      <c r="H6" s="10"/>
      <c r="I6" s="10" t="s">
        <v>190</v>
      </c>
      <c r="J6" s="10"/>
      <c r="K6" s="10" t="s">
        <v>191</v>
      </c>
      <c r="L6" s="10"/>
      <c r="M6" s="10" t="s">
        <v>32</v>
      </c>
    </row>
    <row r="7" spans="2:13" ht="12.75">
      <c r="B7" s="8"/>
      <c r="C7" s="8"/>
      <c r="D7" s="1"/>
      <c r="E7" s="1"/>
      <c r="F7" s="1"/>
      <c r="G7" s="1"/>
      <c r="H7" s="1"/>
      <c r="I7" s="1"/>
      <c r="J7" s="1"/>
      <c r="K7" s="1"/>
      <c r="L7" s="1"/>
      <c r="M7" s="10"/>
    </row>
    <row r="8" spans="2:13" ht="12.75">
      <c r="B8" s="8" t="s">
        <v>25</v>
      </c>
      <c r="C8" s="8" t="s">
        <v>192</v>
      </c>
      <c r="D8" s="8" t="s">
        <v>26</v>
      </c>
      <c r="E8" s="8" t="s">
        <v>27</v>
      </c>
      <c r="G8" s="12">
        <v>0.0273</v>
      </c>
      <c r="H8" s="12"/>
      <c r="I8" s="12">
        <v>0.0444</v>
      </c>
      <c r="J8" s="12"/>
      <c r="K8" s="12">
        <v>0.0302</v>
      </c>
      <c r="L8" s="12"/>
      <c r="M8" s="12">
        <v>0.034</v>
      </c>
    </row>
    <row r="9" spans="2:13" ht="12.75">
      <c r="B9" s="8" t="s">
        <v>166</v>
      </c>
      <c r="C9" s="8"/>
      <c r="D9" s="8" t="s">
        <v>43</v>
      </c>
      <c r="G9" s="12">
        <v>0.101</v>
      </c>
      <c r="H9" s="12"/>
      <c r="I9" s="12">
        <v>0.112</v>
      </c>
      <c r="J9" s="12"/>
      <c r="K9" s="12">
        <v>0.071</v>
      </c>
      <c r="L9" s="12"/>
      <c r="M9" s="40">
        <f>AVERAGE(G9:K9)</f>
        <v>0.09466666666666668</v>
      </c>
    </row>
    <row r="10" spans="2:13" ht="12.75">
      <c r="B10" s="46" t="s">
        <v>194</v>
      </c>
      <c r="C10" s="8"/>
      <c r="D10" s="8" t="s">
        <v>43</v>
      </c>
      <c r="G10" s="12">
        <v>0.029</v>
      </c>
      <c r="H10" s="12"/>
      <c r="I10" s="12">
        <v>0.035</v>
      </c>
      <c r="J10" s="12"/>
      <c r="K10" s="12">
        <v>0.02</v>
      </c>
      <c r="L10" s="12"/>
      <c r="M10" s="12">
        <v>0.028</v>
      </c>
    </row>
    <row r="11" spans="2:13" ht="12.75">
      <c r="B11" s="8"/>
      <c r="C11" s="8"/>
      <c r="G11" s="12"/>
      <c r="H11" s="12"/>
      <c r="I11" s="12"/>
      <c r="J11" s="12"/>
      <c r="K11" s="12"/>
      <c r="L11" s="12"/>
      <c r="M11" s="10"/>
    </row>
    <row r="12" spans="2:13" ht="12.75">
      <c r="B12" s="8" t="s">
        <v>167</v>
      </c>
      <c r="C12" s="8" t="s">
        <v>25</v>
      </c>
      <c r="D12" s="8" t="s">
        <v>192</v>
      </c>
      <c r="G12" s="12"/>
      <c r="H12" s="12"/>
      <c r="I12" s="12"/>
      <c r="J12" s="12"/>
      <c r="K12" s="12"/>
      <c r="L12" s="12"/>
      <c r="M12" s="10"/>
    </row>
    <row r="13" spans="2:13" ht="12.75">
      <c r="B13" s="8" t="s">
        <v>152</v>
      </c>
      <c r="C13" s="8"/>
      <c r="D13" s="8" t="s">
        <v>29</v>
      </c>
      <c r="G13" s="12">
        <v>162567</v>
      </c>
      <c r="H13" s="12"/>
      <c r="I13" s="13">
        <v>168691</v>
      </c>
      <c r="J13" s="13"/>
      <c r="K13" s="12">
        <v>167774</v>
      </c>
      <c r="L13" s="12"/>
      <c r="M13" s="14">
        <f>AVERAGE(G13,I13,K13)</f>
        <v>166344</v>
      </c>
    </row>
    <row r="14" spans="2:13" ht="12.75">
      <c r="B14" s="8" t="s">
        <v>159</v>
      </c>
      <c r="C14" s="8"/>
      <c r="D14" s="8" t="s">
        <v>30</v>
      </c>
      <c r="G14" s="12">
        <v>8.6</v>
      </c>
      <c r="H14" s="12"/>
      <c r="I14" s="12">
        <v>8.2</v>
      </c>
      <c r="J14" s="12"/>
      <c r="K14" s="12">
        <v>8</v>
      </c>
      <c r="L14" s="12"/>
      <c r="M14" s="14">
        <f>AVERAGE(G14,I14,K14)</f>
        <v>8.266666666666666</v>
      </c>
    </row>
    <row r="15" spans="2:13" ht="12.75">
      <c r="B15" s="8" t="s">
        <v>160</v>
      </c>
      <c r="C15" s="8"/>
      <c r="D15" s="8" t="s">
        <v>30</v>
      </c>
      <c r="G15" s="12">
        <v>14.87</v>
      </c>
      <c r="H15" s="12"/>
      <c r="I15" s="12">
        <v>14.55</v>
      </c>
      <c r="J15" s="12"/>
      <c r="K15" s="12">
        <v>15.57</v>
      </c>
      <c r="L15" s="12"/>
      <c r="M15" s="14">
        <f>AVERAGE(G15,I15,K15)</f>
        <v>14.996666666666668</v>
      </c>
    </row>
    <row r="16" spans="2:13" ht="12.75">
      <c r="B16" s="8" t="s">
        <v>151</v>
      </c>
      <c r="C16" s="8"/>
      <c r="D16" s="8" t="s">
        <v>31</v>
      </c>
      <c r="G16" s="12">
        <v>504</v>
      </c>
      <c r="H16" s="12"/>
      <c r="I16" s="12">
        <v>507</v>
      </c>
      <c r="J16" s="12"/>
      <c r="K16" s="12">
        <v>497</v>
      </c>
      <c r="L16" s="12"/>
      <c r="M16" s="14">
        <f>AVERAGE(G16,I16,K16)</f>
        <v>502.6666666666667</v>
      </c>
    </row>
    <row r="17" spans="2:13" ht="12.75">
      <c r="B17" s="8"/>
      <c r="C17" s="8"/>
      <c r="G17" s="12"/>
      <c r="H17" s="12"/>
      <c r="I17" s="12"/>
      <c r="J17" s="12"/>
      <c r="K17" s="12"/>
      <c r="L17" s="12"/>
      <c r="M17" s="15"/>
    </row>
    <row r="18" spans="2:13" ht="12.75">
      <c r="B18" s="8" t="s">
        <v>167</v>
      </c>
      <c r="C18" s="8" t="s">
        <v>154</v>
      </c>
      <c r="D18" s="8" t="s">
        <v>193</v>
      </c>
      <c r="G18" s="12"/>
      <c r="H18" s="12"/>
      <c r="I18" s="12"/>
      <c r="J18" s="12"/>
      <c r="K18" s="12"/>
      <c r="L18" s="12"/>
      <c r="M18" s="15"/>
    </row>
    <row r="19" spans="2:13" ht="12.75">
      <c r="B19" s="8" t="s">
        <v>152</v>
      </c>
      <c r="C19" s="8"/>
      <c r="D19" s="8" t="s">
        <v>29</v>
      </c>
      <c r="G19" s="12">
        <v>166803</v>
      </c>
      <c r="H19" s="12"/>
      <c r="I19" s="13">
        <v>162826</v>
      </c>
      <c r="J19" s="13"/>
      <c r="K19" s="12">
        <v>161282</v>
      </c>
      <c r="L19" s="12"/>
      <c r="M19" s="14">
        <f>AVERAGE(G19,I19,K19)</f>
        <v>163637</v>
      </c>
    </row>
    <row r="20" spans="2:13" ht="12.75">
      <c r="B20" s="8" t="s">
        <v>159</v>
      </c>
      <c r="C20" s="8"/>
      <c r="D20" s="8" t="s">
        <v>30</v>
      </c>
      <c r="G20" s="12">
        <v>8.6</v>
      </c>
      <c r="H20" s="12"/>
      <c r="I20" s="12">
        <v>8.2</v>
      </c>
      <c r="J20" s="12"/>
      <c r="K20" s="12">
        <v>8</v>
      </c>
      <c r="L20" s="12"/>
      <c r="M20" s="14">
        <f>AVERAGE(G20,I20,K20)</f>
        <v>8.266666666666666</v>
      </c>
    </row>
    <row r="21" spans="2:13" ht="12.75">
      <c r="B21" s="8" t="s">
        <v>160</v>
      </c>
      <c r="C21" s="8"/>
      <c r="D21" s="8" t="s">
        <v>30</v>
      </c>
      <c r="G21" s="12">
        <v>11.22</v>
      </c>
      <c r="H21" s="12"/>
      <c r="I21" s="12">
        <v>13.95</v>
      </c>
      <c r="J21" s="12"/>
      <c r="K21" s="12">
        <v>15.73</v>
      </c>
      <c r="L21" s="12"/>
      <c r="M21" s="14">
        <f>AVERAGE(G21,I21,K21)</f>
        <v>13.633333333333335</v>
      </c>
    </row>
    <row r="22" spans="2:13" ht="12.75">
      <c r="B22" s="8" t="s">
        <v>151</v>
      </c>
      <c r="C22" s="8"/>
      <c r="D22" s="8" t="s">
        <v>31</v>
      </c>
      <c r="G22" s="12">
        <v>504</v>
      </c>
      <c r="H22" s="12"/>
      <c r="I22" s="12">
        <v>508</v>
      </c>
      <c r="J22" s="12"/>
      <c r="K22" s="12">
        <v>503</v>
      </c>
      <c r="L22" s="12"/>
      <c r="M22" s="14">
        <f>AVERAGE(G22,I22,K22)</f>
        <v>505</v>
      </c>
    </row>
    <row r="23" spans="2:12" ht="12.75">
      <c r="B23" s="8"/>
      <c r="C23" s="8"/>
      <c r="G23" s="12"/>
      <c r="H23" s="12"/>
      <c r="I23" s="12"/>
      <c r="J23" s="12"/>
      <c r="K23" s="12"/>
      <c r="L23" s="12"/>
    </row>
    <row r="24" spans="2:13" ht="12.75">
      <c r="B24" s="8" t="s">
        <v>166</v>
      </c>
      <c r="C24" s="8" t="s">
        <v>193</v>
      </c>
      <c r="D24" s="8" t="s">
        <v>119</v>
      </c>
      <c r="E24" s="8" t="s">
        <v>27</v>
      </c>
      <c r="G24" s="13">
        <f>G9*454/G19/60/0.0283*1000000*(21-7)/(21-G20)</f>
        <v>182.78562327284948</v>
      </c>
      <c r="H24" s="12"/>
      <c r="I24" s="13">
        <f>I9*454/I19/60/0.0283*1000000*(21-7)/(21-I20)</f>
        <v>201.15484692143275</v>
      </c>
      <c r="J24" s="12"/>
      <c r="K24" s="13">
        <f>K9*454/K19/60/0.0283*1000000*(21-7)/(21-K20)</f>
        <v>126.75797679024693</v>
      </c>
      <c r="L24" s="12"/>
      <c r="M24" s="13">
        <f>M9*454/M19/60/0.0283*1000000*(21-7)/(21-M20)</f>
        <v>170.0668512417041</v>
      </c>
    </row>
    <row r="25" spans="2:13" ht="12.75">
      <c r="B25" s="46" t="s">
        <v>194</v>
      </c>
      <c r="C25" s="8" t="s">
        <v>193</v>
      </c>
      <c r="D25" s="8" t="s">
        <v>119</v>
      </c>
      <c r="E25" s="8" t="s">
        <v>27</v>
      </c>
      <c r="G25" s="13">
        <f>G10*454/G19/60/0.0283*1000000*(21-7)/(21-G20)</f>
        <v>52.483000741709255</v>
      </c>
      <c r="H25" s="12"/>
      <c r="I25" s="13">
        <f>I10*454/I19/60/0.0283*1000000*(21-7)/(21-I20)</f>
        <v>62.86088966294775</v>
      </c>
      <c r="J25" s="12"/>
      <c r="K25" s="13">
        <f>K10*454/K19/60/0.0283*1000000*(21-7)/(21-K20)</f>
        <v>35.706472335280836</v>
      </c>
      <c r="L25" s="12"/>
      <c r="M25" s="13">
        <f>M10*454/M19/60/0.0283*1000000*(21-7)/(21-M20)</f>
        <v>50.30146304332093</v>
      </c>
    </row>
    <row r="26" spans="2:13" ht="12.75">
      <c r="B26" s="8"/>
      <c r="C26" s="8"/>
      <c r="G26" s="13"/>
      <c r="H26" s="12"/>
      <c r="I26" s="13"/>
      <c r="J26" s="12"/>
      <c r="K26" s="13"/>
      <c r="L26" s="12"/>
      <c r="M26" s="13"/>
    </row>
    <row r="27" spans="2:14" ht="12.75">
      <c r="B27" s="8" t="s">
        <v>195</v>
      </c>
      <c r="C27" s="8" t="s">
        <v>193</v>
      </c>
      <c r="D27" s="8" t="s">
        <v>119</v>
      </c>
      <c r="E27" s="8" t="s">
        <v>27</v>
      </c>
      <c r="G27" s="13">
        <f>G24</f>
        <v>182.78562327284948</v>
      </c>
      <c r="H27" s="12"/>
      <c r="I27" s="13">
        <f>I24</f>
        <v>201.15484692143275</v>
      </c>
      <c r="J27" s="12"/>
      <c r="K27" s="13">
        <f>K24</f>
        <v>126.75797679024693</v>
      </c>
      <c r="L27" s="12"/>
      <c r="M27" s="13">
        <f>M24</f>
        <v>170.0668512417041</v>
      </c>
      <c r="N27" t="s">
        <v>196</v>
      </c>
    </row>
    <row r="28" spans="2:12" ht="12.75">
      <c r="B28" s="8"/>
      <c r="C28" s="8"/>
      <c r="G28" s="12"/>
      <c r="H28" s="12"/>
      <c r="I28" s="12"/>
      <c r="J28" s="12"/>
      <c r="K28" s="12"/>
      <c r="L28" s="12"/>
    </row>
    <row r="29" spans="1:13" ht="12.75">
      <c r="A29" s="9">
        <v>2</v>
      </c>
      <c r="B29" s="11" t="s">
        <v>38</v>
      </c>
      <c r="C29" s="11"/>
      <c r="G29" s="10" t="s">
        <v>189</v>
      </c>
      <c r="H29" s="10"/>
      <c r="I29" s="10" t="s">
        <v>190</v>
      </c>
      <c r="J29" s="10"/>
      <c r="K29" s="10" t="s">
        <v>191</v>
      </c>
      <c r="L29" s="10"/>
      <c r="M29" s="10" t="s">
        <v>32</v>
      </c>
    </row>
    <row r="30" spans="2:12" ht="12.75">
      <c r="B30" s="8"/>
      <c r="C30" s="8"/>
      <c r="G30" s="12"/>
      <c r="H30" s="12"/>
      <c r="I30" s="12"/>
      <c r="J30" s="12"/>
      <c r="K30" s="12"/>
      <c r="L30" s="12"/>
    </row>
    <row r="31" spans="2:13" ht="12.75">
      <c r="B31" s="8" t="s">
        <v>25</v>
      </c>
      <c r="C31" s="8" t="s">
        <v>192</v>
      </c>
      <c r="D31" s="8" t="s">
        <v>26</v>
      </c>
      <c r="E31" s="8" t="s">
        <v>27</v>
      </c>
      <c r="G31" s="12">
        <v>0.0386</v>
      </c>
      <c r="H31" s="12"/>
      <c r="I31" s="12">
        <v>0.0208</v>
      </c>
      <c r="J31" s="12"/>
      <c r="K31" s="12">
        <v>0.0729</v>
      </c>
      <c r="L31" s="12"/>
      <c r="M31" s="9">
        <v>0.044</v>
      </c>
    </row>
    <row r="32" spans="2:13" ht="12.75">
      <c r="B32" s="8" t="s">
        <v>166</v>
      </c>
      <c r="C32" s="8"/>
      <c r="D32" s="8" t="s">
        <v>43</v>
      </c>
      <c r="G32" s="12">
        <v>0.064</v>
      </c>
      <c r="H32" s="12"/>
      <c r="I32" s="12">
        <v>0.085</v>
      </c>
      <c r="J32" s="12"/>
      <c r="K32" s="12">
        <v>0.333</v>
      </c>
      <c r="L32" s="12"/>
      <c r="M32" s="41">
        <f>AVERAGE(G32:K32)</f>
        <v>0.16066666666666668</v>
      </c>
    </row>
    <row r="33" spans="2:13" ht="12.75">
      <c r="B33" s="46" t="s">
        <v>194</v>
      </c>
      <c r="C33" s="8"/>
      <c r="D33" s="8" t="s">
        <v>43</v>
      </c>
      <c r="G33" s="12">
        <v>0.026</v>
      </c>
      <c r="H33" s="12"/>
      <c r="I33" s="12">
        <v>0.035</v>
      </c>
      <c r="J33" s="12"/>
      <c r="K33" s="12">
        <v>0.043</v>
      </c>
      <c r="L33" s="12"/>
      <c r="M33" s="9">
        <v>0.035</v>
      </c>
    </row>
    <row r="34" spans="7:12" ht="12.75">
      <c r="G34" s="16"/>
      <c r="H34" s="16"/>
      <c r="I34" s="16"/>
      <c r="J34" s="16"/>
      <c r="K34" s="16"/>
      <c r="L34" s="16"/>
    </row>
    <row r="35" spans="2:12" ht="12.75">
      <c r="B35" s="8" t="s">
        <v>167</v>
      </c>
      <c r="C35" s="8" t="s">
        <v>25</v>
      </c>
      <c r="D35" s="8" t="s">
        <v>192</v>
      </c>
      <c r="G35" s="12"/>
      <c r="H35" s="12"/>
      <c r="I35" s="12"/>
      <c r="J35" s="12"/>
      <c r="K35" s="12"/>
      <c r="L35" s="12"/>
    </row>
    <row r="36" spans="2:13" ht="12.75">
      <c r="B36" s="8" t="s">
        <v>152</v>
      </c>
      <c r="C36" s="8"/>
      <c r="D36" s="8" t="s">
        <v>29</v>
      </c>
      <c r="G36" s="12">
        <v>62068</v>
      </c>
      <c r="H36" s="12"/>
      <c r="I36" s="12">
        <v>64650</v>
      </c>
      <c r="J36" s="12"/>
      <c r="K36" s="12">
        <v>63185</v>
      </c>
      <c r="L36" s="12"/>
      <c r="M36" s="15">
        <f>AVERAGE(K36,I36,G36)</f>
        <v>63301</v>
      </c>
    </row>
    <row r="37" spans="2:13" ht="12.75">
      <c r="B37" s="8" t="s">
        <v>159</v>
      </c>
      <c r="C37" s="8"/>
      <c r="D37" s="8" t="s">
        <v>30</v>
      </c>
      <c r="G37" s="12">
        <v>11.6</v>
      </c>
      <c r="H37" s="12"/>
      <c r="I37" s="12">
        <v>11.4</v>
      </c>
      <c r="J37" s="12"/>
      <c r="K37" s="12">
        <v>11.6</v>
      </c>
      <c r="L37" s="12"/>
      <c r="M37" s="15">
        <f>AVERAGE(K37,I37,G37)</f>
        <v>11.533333333333333</v>
      </c>
    </row>
    <row r="38" spans="2:13" ht="12.75">
      <c r="B38" s="8" t="s">
        <v>160</v>
      </c>
      <c r="C38" s="8"/>
      <c r="D38" s="8" t="s">
        <v>30</v>
      </c>
      <c r="G38" s="12">
        <v>17.19</v>
      </c>
      <c r="H38" s="12"/>
      <c r="I38" s="12">
        <v>17.26</v>
      </c>
      <c r="J38" s="12"/>
      <c r="K38" s="12">
        <v>16.76</v>
      </c>
      <c r="L38" s="12"/>
      <c r="M38" s="15">
        <f>AVERAGE(K38,I38,G38)</f>
        <v>17.070000000000004</v>
      </c>
    </row>
    <row r="39" spans="2:13" ht="12.75">
      <c r="B39" s="8" t="s">
        <v>151</v>
      </c>
      <c r="C39" s="8"/>
      <c r="D39" s="8" t="s">
        <v>31</v>
      </c>
      <c r="G39" s="12">
        <v>289</v>
      </c>
      <c r="H39" s="12"/>
      <c r="I39" s="12">
        <v>284</v>
      </c>
      <c r="J39" s="12"/>
      <c r="K39" s="12">
        <v>276</v>
      </c>
      <c r="L39" s="12"/>
      <c r="M39" s="15">
        <f>AVERAGE(K39,I39,G39)</f>
        <v>283</v>
      </c>
    </row>
    <row r="40" spans="2:3" ht="12.75">
      <c r="B40" s="8"/>
      <c r="C40" s="8"/>
    </row>
    <row r="41" spans="2:12" ht="12.75">
      <c r="B41" s="8" t="s">
        <v>167</v>
      </c>
      <c r="C41" s="8" t="s">
        <v>154</v>
      </c>
      <c r="D41" s="8" t="s">
        <v>193</v>
      </c>
      <c r="G41" s="12"/>
      <c r="H41" s="12"/>
      <c r="I41" s="12"/>
      <c r="J41" s="12"/>
      <c r="K41" s="12"/>
      <c r="L41" s="12"/>
    </row>
    <row r="42" spans="2:13" ht="12.75">
      <c r="B42" s="8" t="s">
        <v>152</v>
      </c>
      <c r="C42" s="8"/>
      <c r="D42" s="8" t="s">
        <v>29</v>
      </c>
      <c r="G42" s="12">
        <v>67981</v>
      </c>
      <c r="H42" s="12"/>
      <c r="I42" s="12">
        <v>78911</v>
      </c>
      <c r="J42" s="12"/>
      <c r="K42" s="12">
        <v>65272</v>
      </c>
      <c r="L42" s="12"/>
      <c r="M42" s="15">
        <f>AVERAGE(K42,I42,G42)</f>
        <v>70721.33333333333</v>
      </c>
    </row>
    <row r="43" spans="2:13" ht="12.75">
      <c r="B43" s="8" t="s">
        <v>159</v>
      </c>
      <c r="C43" s="8"/>
      <c r="D43" s="8" t="s">
        <v>30</v>
      </c>
      <c r="G43" s="12">
        <v>11.6</v>
      </c>
      <c r="H43" s="12"/>
      <c r="I43" s="12">
        <v>11.4</v>
      </c>
      <c r="J43" s="12"/>
      <c r="K43" s="12">
        <v>11.6</v>
      </c>
      <c r="L43" s="12"/>
      <c r="M43" s="15">
        <f>AVERAGE(K43,I43,G43)</f>
        <v>11.533333333333333</v>
      </c>
    </row>
    <row r="44" spans="2:13" ht="12.75">
      <c r="B44" s="8" t="s">
        <v>160</v>
      </c>
      <c r="C44" s="8"/>
      <c r="D44" s="8" t="s">
        <v>30</v>
      </c>
      <c r="G44" s="12">
        <v>16.7</v>
      </c>
      <c r="H44" s="12"/>
      <c r="I44" s="12">
        <v>16.64</v>
      </c>
      <c r="J44" s="12"/>
      <c r="K44" s="12">
        <v>17.69</v>
      </c>
      <c r="L44" s="12"/>
      <c r="M44" s="15">
        <f>AVERAGE(K44,I44,G44)</f>
        <v>17.01</v>
      </c>
    </row>
    <row r="45" spans="2:13" ht="12.75">
      <c r="B45" s="8" t="s">
        <v>151</v>
      </c>
      <c r="C45" s="8"/>
      <c r="D45" s="8" t="s">
        <v>31</v>
      </c>
      <c r="G45" s="12">
        <v>294</v>
      </c>
      <c r="H45" s="12"/>
      <c r="I45" s="12">
        <v>287</v>
      </c>
      <c r="J45" s="12"/>
      <c r="K45" s="12">
        <v>278</v>
      </c>
      <c r="L45" s="12"/>
      <c r="M45" s="15">
        <f>AVERAGE(K45,I45,G45)</f>
        <v>286.3333333333333</v>
      </c>
    </row>
    <row r="46" spans="2:12" ht="12.75">
      <c r="B46" s="8"/>
      <c r="C46" s="8"/>
      <c r="G46" s="12"/>
      <c r="H46" s="12"/>
      <c r="I46" s="12"/>
      <c r="J46" s="12"/>
      <c r="K46" s="12"/>
      <c r="L46" s="12"/>
    </row>
    <row r="47" spans="2:16" ht="12.75">
      <c r="B47" s="8" t="s">
        <v>166</v>
      </c>
      <c r="C47" s="8" t="s">
        <v>192</v>
      </c>
      <c r="D47" s="8" t="s">
        <v>119</v>
      </c>
      <c r="E47" s="8" t="s">
        <v>27</v>
      </c>
      <c r="G47" s="13">
        <f>G32*454/G42/60/0.0283*1000000*(21-7)/(21-G43)</f>
        <v>374.89597199880404</v>
      </c>
      <c r="H47" s="12"/>
      <c r="I47" s="13">
        <f>I32*454/I42/60/0.0283*1000000*(21-7)/(21-I43)</f>
        <v>420.00682563878223</v>
      </c>
      <c r="J47" s="12"/>
      <c r="K47" s="13">
        <f>K32*454/K42/60/0.0283*1000000*(21-7)/(21-K43)</f>
        <v>2031.5881099299095</v>
      </c>
      <c r="L47" s="12"/>
      <c r="M47" s="13">
        <f>M32*454/M42/60/0.0283*1000000*(21-7)/(21-M43)</f>
        <v>898.30633175162</v>
      </c>
      <c r="P47" s="47"/>
    </row>
    <row r="48" spans="2:13" ht="12.75">
      <c r="B48" s="46" t="s">
        <v>194</v>
      </c>
      <c r="C48" s="8" t="s">
        <v>192</v>
      </c>
      <c r="D48" s="8" t="s">
        <v>119</v>
      </c>
      <c r="E48" s="8" t="s">
        <v>27</v>
      </c>
      <c r="G48" s="13">
        <f>G33*454/G42/60/0.0283*1000000*(21-7)/(21-G43)</f>
        <v>152.3014886245141</v>
      </c>
      <c r="H48" s="12"/>
      <c r="I48" s="13">
        <f>I33*454/I42/60/0.0283*1000000*(21-7)/(21-I43)</f>
        <v>172.94398702773387</v>
      </c>
      <c r="J48" s="12"/>
      <c r="K48" s="13">
        <f>K33*454/K42/60/0.0283*1000000*(21-7)/(21-K43)</f>
        <v>262.33720338434256</v>
      </c>
      <c r="L48" s="12"/>
      <c r="M48" s="13">
        <f>M33*454/M42/60/0.0283*1000000*(21-7)/(21-M43)</f>
        <v>195.68913865958527</v>
      </c>
    </row>
    <row r="49" spans="2:13" ht="12.75">
      <c r="B49" s="8" t="s">
        <v>195</v>
      </c>
      <c r="C49" s="8" t="s">
        <v>192</v>
      </c>
      <c r="D49" s="8" t="s">
        <v>119</v>
      </c>
      <c r="E49" s="8" t="s">
        <v>27</v>
      </c>
      <c r="G49" s="13">
        <f>G47</f>
        <v>374.89597199880404</v>
      </c>
      <c r="H49" s="12"/>
      <c r="I49" s="13">
        <f>I47</f>
        <v>420.00682563878223</v>
      </c>
      <c r="J49" s="12"/>
      <c r="K49" s="13">
        <f>K47</f>
        <v>2031.5881099299095</v>
      </c>
      <c r="L49" s="12"/>
      <c r="M49" s="13">
        <f>M47</f>
        <v>898.30633175162</v>
      </c>
    </row>
    <row r="50" spans="2:12" ht="12.75">
      <c r="B50" s="8"/>
      <c r="C50" s="8"/>
      <c r="G50" s="12"/>
      <c r="H50" s="12"/>
      <c r="I50" s="12"/>
      <c r="J50" s="12"/>
      <c r="K50" s="12"/>
      <c r="L50" s="12"/>
    </row>
    <row r="51" spans="1:13" ht="12.75">
      <c r="A51" s="9">
        <v>3</v>
      </c>
      <c r="B51" s="11" t="s">
        <v>49</v>
      </c>
      <c r="C51" s="11"/>
      <c r="G51" s="10" t="s">
        <v>189</v>
      </c>
      <c r="H51" s="10"/>
      <c r="I51" s="10" t="s">
        <v>190</v>
      </c>
      <c r="J51" s="10"/>
      <c r="K51" s="10" t="s">
        <v>191</v>
      </c>
      <c r="L51" s="10"/>
      <c r="M51" s="10" t="s">
        <v>32</v>
      </c>
    </row>
    <row r="52" spans="2:12" ht="12.75">
      <c r="B52" s="8"/>
      <c r="C52" s="8"/>
      <c r="G52" s="12"/>
      <c r="H52" s="12"/>
      <c r="I52" s="12"/>
      <c r="J52" s="12"/>
      <c r="K52" s="12"/>
      <c r="L52" s="12"/>
    </row>
    <row r="53" spans="2:3" ht="12.75">
      <c r="B53" s="9" t="s">
        <v>50</v>
      </c>
      <c r="C53" s="9" t="s">
        <v>141</v>
      </c>
    </row>
    <row r="54" spans="2:11" ht="12.75">
      <c r="B54" s="9" t="s">
        <v>158</v>
      </c>
      <c r="D54" s="8" t="s">
        <v>43</v>
      </c>
      <c r="G54" s="9">
        <v>160</v>
      </c>
      <c r="I54" s="9">
        <v>160</v>
      </c>
      <c r="K54" s="9">
        <v>160</v>
      </c>
    </row>
    <row r="55" ht="12.75">
      <c r="B55" s="9" t="s">
        <v>164</v>
      </c>
    </row>
    <row r="56" spans="2:11" ht="12.75">
      <c r="B56" s="9" t="s">
        <v>118</v>
      </c>
      <c r="C56" s="9" t="s">
        <v>192</v>
      </c>
      <c r="D56" s="8" t="s">
        <v>30</v>
      </c>
      <c r="F56" s="8" t="s">
        <v>51</v>
      </c>
      <c r="G56" s="9">
        <v>99.998</v>
      </c>
      <c r="H56" s="9" t="s">
        <v>51</v>
      </c>
      <c r="I56" s="9">
        <v>99.998</v>
      </c>
      <c r="J56" s="9" t="s">
        <v>51</v>
      </c>
      <c r="K56" s="9">
        <v>99.998</v>
      </c>
    </row>
    <row r="58" spans="2:4" ht="12.75">
      <c r="B58" s="8" t="s">
        <v>167</v>
      </c>
      <c r="C58" s="8" t="s">
        <v>155</v>
      </c>
      <c r="D58" s="8" t="s">
        <v>192</v>
      </c>
    </row>
    <row r="59" spans="2:13" ht="12.75">
      <c r="B59" s="8" t="s">
        <v>152</v>
      </c>
      <c r="C59" s="8"/>
      <c r="D59" s="8" t="s">
        <v>29</v>
      </c>
      <c r="G59" s="9">
        <v>163984</v>
      </c>
      <c r="I59" s="9">
        <v>169132</v>
      </c>
      <c r="K59" s="9">
        <v>165576</v>
      </c>
      <c r="M59" s="15">
        <f>AVERAGE(K59,I59,G59)</f>
        <v>166230.66666666666</v>
      </c>
    </row>
    <row r="60" spans="2:13" ht="12.75">
      <c r="B60" s="8" t="s">
        <v>159</v>
      </c>
      <c r="C60" s="8"/>
      <c r="D60" s="8" t="s">
        <v>30</v>
      </c>
      <c r="G60" s="9">
        <v>13.6</v>
      </c>
      <c r="I60" s="9">
        <v>13.5</v>
      </c>
      <c r="K60" s="9">
        <v>13.8</v>
      </c>
      <c r="M60" s="15">
        <f>AVERAGE(K60,I60,G60)</f>
        <v>13.633333333333333</v>
      </c>
    </row>
    <row r="61" spans="2:13" ht="12.75">
      <c r="B61" s="8" t="s">
        <v>160</v>
      </c>
      <c r="C61" s="8"/>
      <c r="D61" s="8" t="s">
        <v>30</v>
      </c>
      <c r="G61" s="9">
        <v>8.9</v>
      </c>
      <c r="I61" s="9">
        <v>10.4</v>
      </c>
      <c r="K61" s="9">
        <v>8.88</v>
      </c>
      <c r="M61" s="15">
        <f>AVERAGE(K61,I61,G61)</f>
        <v>9.393333333333333</v>
      </c>
    </row>
    <row r="62" spans="2:13" ht="12.75">
      <c r="B62" s="8" t="s">
        <v>151</v>
      </c>
      <c r="C62" s="8"/>
      <c r="D62" s="8" t="s">
        <v>31</v>
      </c>
      <c r="G62" s="9">
        <v>318</v>
      </c>
      <c r="I62" s="9">
        <v>314</v>
      </c>
      <c r="K62" s="9">
        <v>314</v>
      </c>
      <c r="M62" s="15">
        <f>AVERAGE(K62,I62,G62)</f>
        <v>315.3333333333333</v>
      </c>
    </row>
    <row r="63" spans="2:3" ht="12.75">
      <c r="B63" s="8"/>
      <c r="C63" s="8"/>
    </row>
    <row r="64" spans="1:13" ht="12.75">
      <c r="A64" s="9">
        <v>4</v>
      </c>
      <c r="B64" s="7" t="s">
        <v>92</v>
      </c>
      <c r="C64" s="7"/>
      <c r="G64" s="10" t="s">
        <v>189</v>
      </c>
      <c r="H64" s="10"/>
      <c r="I64" s="10" t="s">
        <v>190</v>
      </c>
      <c r="J64" s="10"/>
      <c r="K64" s="10" t="s">
        <v>191</v>
      </c>
      <c r="L64" s="10"/>
      <c r="M64" s="10" t="s">
        <v>32</v>
      </c>
    </row>
    <row r="66" spans="2:13" ht="12.75">
      <c r="B66" s="9" t="s">
        <v>25</v>
      </c>
      <c r="C66" s="9" t="s">
        <v>192</v>
      </c>
      <c r="D66" s="8" t="s">
        <v>26</v>
      </c>
      <c r="E66" s="8" t="s">
        <v>27</v>
      </c>
      <c r="G66" s="9">
        <v>0.0088</v>
      </c>
      <c r="I66" s="9">
        <v>0.0069</v>
      </c>
      <c r="K66" s="9">
        <v>0.0076</v>
      </c>
      <c r="M66" s="9">
        <v>0.0078</v>
      </c>
    </row>
    <row r="67" spans="2:13" ht="12.75">
      <c r="B67" s="9" t="s">
        <v>53</v>
      </c>
      <c r="D67" s="8" t="s">
        <v>55</v>
      </c>
      <c r="E67" s="8" t="s">
        <v>28</v>
      </c>
      <c r="G67" s="9">
        <v>16.3</v>
      </c>
      <c r="I67" s="9">
        <v>10.1</v>
      </c>
      <c r="K67" s="9">
        <v>11.8</v>
      </c>
      <c r="M67" s="17">
        <f>AVERAGE(K67,I67,G67)</f>
        <v>12.733333333333334</v>
      </c>
    </row>
    <row r="68" spans="2:13" ht="12.75">
      <c r="B68" s="9" t="s">
        <v>54</v>
      </c>
      <c r="D68" s="8" t="s">
        <v>55</v>
      </c>
      <c r="E68" s="8" t="s">
        <v>28</v>
      </c>
      <c r="G68" s="9">
        <v>0.02</v>
      </c>
      <c r="I68" s="9">
        <v>0.02</v>
      </c>
      <c r="K68" s="9">
        <v>0.01</v>
      </c>
      <c r="M68" s="17">
        <f>AVERAGE(K68,I68,G68)</f>
        <v>0.016666666666666666</v>
      </c>
    </row>
    <row r="69" spans="2:13" ht="12.75">
      <c r="B69" s="46" t="s">
        <v>194</v>
      </c>
      <c r="D69" s="8" t="s">
        <v>119</v>
      </c>
      <c r="E69" s="8" t="s">
        <v>28</v>
      </c>
      <c r="G69" s="9">
        <v>118.6</v>
      </c>
      <c r="I69" s="9">
        <v>161.5</v>
      </c>
      <c r="K69" s="9">
        <v>138.5</v>
      </c>
      <c r="M69" s="9">
        <v>139.5</v>
      </c>
    </row>
    <row r="71" spans="2:4" ht="12.75">
      <c r="B71" s="9" t="s">
        <v>167</v>
      </c>
      <c r="C71" s="9" t="s">
        <v>156</v>
      </c>
      <c r="D71" s="8" t="s">
        <v>192</v>
      </c>
    </row>
    <row r="72" spans="2:13" ht="12.75">
      <c r="B72" s="8" t="s">
        <v>152</v>
      </c>
      <c r="C72" s="8"/>
      <c r="D72" s="8" t="s">
        <v>29</v>
      </c>
      <c r="G72" s="9">
        <v>213385</v>
      </c>
      <c r="I72" s="9">
        <v>222830</v>
      </c>
      <c r="K72" s="9">
        <v>225725</v>
      </c>
      <c r="M72" s="9">
        <f>AVERAGE(K72,I72,G72)</f>
        <v>220646.66666666666</v>
      </c>
    </row>
    <row r="73" spans="2:13" ht="12.75">
      <c r="B73" s="8" t="s">
        <v>159</v>
      </c>
      <c r="C73" s="8"/>
      <c r="D73" s="8" t="s">
        <v>30</v>
      </c>
      <c r="G73" s="9">
        <v>6.3</v>
      </c>
      <c r="I73" s="9">
        <v>6.6</v>
      </c>
      <c r="K73" s="9">
        <v>6.6</v>
      </c>
      <c r="M73" s="15">
        <f>AVERAGE(K73,I73,G73)</f>
        <v>6.5</v>
      </c>
    </row>
    <row r="74" spans="2:13" ht="12.75">
      <c r="B74" s="8" t="s">
        <v>160</v>
      </c>
      <c r="C74" s="8"/>
      <c r="D74" s="8" t="s">
        <v>30</v>
      </c>
      <c r="G74" s="9">
        <v>18.2</v>
      </c>
      <c r="I74" s="9">
        <v>17.6</v>
      </c>
      <c r="K74" s="9">
        <v>16.3</v>
      </c>
      <c r="M74" s="15">
        <f>AVERAGE(K74,I74,G74)</f>
        <v>17.36666666666667</v>
      </c>
    </row>
    <row r="75" spans="2:13" ht="12.75">
      <c r="B75" s="8" t="s">
        <v>151</v>
      </c>
      <c r="C75" s="8"/>
      <c r="D75" s="8" t="s">
        <v>31</v>
      </c>
      <c r="G75" s="9">
        <v>382</v>
      </c>
      <c r="I75" s="9">
        <v>387</v>
      </c>
      <c r="K75" s="9">
        <v>383</v>
      </c>
      <c r="M75" s="15">
        <f>AVERAGE(K75,I75,G75)</f>
        <v>384</v>
      </c>
    </row>
    <row r="77" spans="2:4" ht="12.75">
      <c r="B77" s="9" t="s">
        <v>167</v>
      </c>
      <c r="C77" s="9" t="s">
        <v>157</v>
      </c>
      <c r="D77" s="8" t="s">
        <v>193</v>
      </c>
    </row>
    <row r="78" spans="2:13" ht="12.75">
      <c r="B78" s="8" t="s">
        <v>152</v>
      </c>
      <c r="C78" s="8"/>
      <c r="D78" s="8" t="s">
        <v>29</v>
      </c>
      <c r="G78" s="9">
        <v>228175</v>
      </c>
      <c r="I78" s="9">
        <v>216511</v>
      </c>
      <c r="K78" s="9">
        <v>227662</v>
      </c>
      <c r="M78" s="15">
        <f>AVERAGE(K78,I78,G78)</f>
        <v>224116</v>
      </c>
    </row>
    <row r="79" spans="2:13" ht="12.75">
      <c r="B79" s="8" t="s">
        <v>159</v>
      </c>
      <c r="C79" s="8"/>
      <c r="D79" s="8" t="s">
        <v>30</v>
      </c>
      <c r="G79" s="9">
        <v>6.3</v>
      </c>
      <c r="I79" s="9">
        <v>6.6</v>
      </c>
      <c r="K79" s="9">
        <v>6.6</v>
      </c>
      <c r="M79" s="15">
        <f>AVERAGE(K79,I79,G79)</f>
        <v>6.5</v>
      </c>
    </row>
    <row r="80" spans="2:13" ht="12.75">
      <c r="B80" s="8" t="s">
        <v>160</v>
      </c>
      <c r="C80" s="8"/>
      <c r="D80" s="8" t="s">
        <v>30</v>
      </c>
      <c r="G80" s="9">
        <v>11.3</v>
      </c>
      <c r="I80" s="9">
        <v>17.98</v>
      </c>
      <c r="K80" s="9">
        <v>10.48</v>
      </c>
      <c r="M80" s="15">
        <f>AVERAGE(K80,I80,G80)</f>
        <v>13.253333333333336</v>
      </c>
    </row>
    <row r="81" spans="2:13" ht="12.75">
      <c r="B81" s="8" t="s">
        <v>151</v>
      </c>
      <c r="C81" s="8"/>
      <c r="D81" s="8" t="s">
        <v>31</v>
      </c>
      <c r="G81" s="9">
        <v>385</v>
      </c>
      <c r="I81" s="9">
        <v>391</v>
      </c>
      <c r="K81" s="9">
        <v>381</v>
      </c>
      <c r="M81" s="15">
        <f>AVERAGE(K81,I81,G81)</f>
        <v>385.6666666666667</v>
      </c>
    </row>
    <row r="83" spans="2:13" ht="12.75">
      <c r="B83" s="9" t="s">
        <v>53</v>
      </c>
      <c r="C83" s="9" t="s">
        <v>192</v>
      </c>
      <c r="D83" s="8" t="s">
        <v>55</v>
      </c>
      <c r="E83" s="8" t="s">
        <v>27</v>
      </c>
      <c r="G83" s="17">
        <f>G67*(21-7)/(21-G73)</f>
        <v>15.523809523809526</v>
      </c>
      <c r="I83" s="17">
        <f>I67*(21-7)/(21-I73)</f>
        <v>9.819444444444445</v>
      </c>
      <c r="K83" s="17">
        <f>K67*(21-7)/(21-K73)</f>
        <v>11.472222222222223</v>
      </c>
      <c r="M83" s="17">
        <f>M67*(21-7)/(21-M73)</f>
        <v>12.29425287356322</v>
      </c>
    </row>
    <row r="84" spans="2:13" ht="12.75">
      <c r="B84" s="9" t="s">
        <v>54</v>
      </c>
      <c r="C84" s="9" t="s">
        <v>192</v>
      </c>
      <c r="D84" s="8" t="s">
        <v>55</v>
      </c>
      <c r="E84" s="8" t="s">
        <v>27</v>
      </c>
      <c r="G84" s="17">
        <f>G68*(21-7)/(21-G73)</f>
        <v>0.01904761904761905</v>
      </c>
      <c r="I84" s="17">
        <f>I68*(21-7)/(21-I73)</f>
        <v>0.019444444444444445</v>
      </c>
      <c r="K84" s="17">
        <f>K68*(21-7)/(21-K73)</f>
        <v>0.009722222222222222</v>
      </c>
      <c r="M84" s="17">
        <f>M68*(21-7)/(21-M73)</f>
        <v>0.016091954022988506</v>
      </c>
    </row>
    <row r="85" spans="2:13" ht="12.75">
      <c r="B85" s="9" t="s">
        <v>165</v>
      </c>
      <c r="C85" s="9" t="s">
        <v>192</v>
      </c>
      <c r="D85" s="8" t="s">
        <v>55</v>
      </c>
      <c r="E85" s="8" t="s">
        <v>27</v>
      </c>
      <c r="G85" s="17">
        <f>G83+2*G84</f>
        <v>15.561904761904763</v>
      </c>
      <c r="I85" s="17">
        <f>I83+2*I84</f>
        <v>9.858333333333334</v>
      </c>
      <c r="K85" s="17">
        <f>K83+2*K84</f>
        <v>11.491666666666667</v>
      </c>
      <c r="M85" s="17">
        <f>M83+2*M84</f>
        <v>12.326436781609198</v>
      </c>
    </row>
    <row r="86" spans="7:13" ht="12.75">
      <c r="G86" s="17"/>
      <c r="I86" s="17"/>
      <c r="K86" s="17"/>
      <c r="M86" s="17"/>
    </row>
    <row r="87" spans="2:13" ht="12.75">
      <c r="B87" s="46" t="s">
        <v>194</v>
      </c>
      <c r="C87" s="9" t="s">
        <v>193</v>
      </c>
      <c r="D87" s="8" t="s">
        <v>119</v>
      </c>
      <c r="E87" s="8" t="s">
        <v>27</v>
      </c>
      <c r="G87" s="15">
        <f>G69*(21-7)/(21-G79)</f>
        <v>112.95238095238095</v>
      </c>
      <c r="I87" s="15">
        <f>I69*(21-7)/(21-I79)</f>
        <v>157.01388888888889</v>
      </c>
      <c r="K87" s="15">
        <f>K69*(21-7)/(21-K79)</f>
        <v>134.65277777777777</v>
      </c>
      <c r="M87" s="15">
        <f>M69*(21-7)/(21-M79)</f>
        <v>134.68965517241378</v>
      </c>
    </row>
    <row r="88" spans="2:13" ht="12.75">
      <c r="B88" s="46"/>
      <c r="G88" s="15"/>
      <c r="I88" s="15"/>
      <c r="K88" s="15"/>
      <c r="M88" s="15"/>
    </row>
    <row r="90" spans="2:3" ht="12.75">
      <c r="B90" s="9" t="s">
        <v>144</v>
      </c>
      <c r="C90" s="9" t="s">
        <v>161</v>
      </c>
    </row>
    <row r="91" spans="2:11" ht="12.75">
      <c r="B91" s="9" t="s">
        <v>145</v>
      </c>
      <c r="D91" s="8" t="s">
        <v>146</v>
      </c>
      <c r="G91" s="9">
        <v>1.5</v>
      </c>
      <c r="I91" s="9">
        <v>2.95</v>
      </c>
      <c r="J91" s="9" t="s">
        <v>147</v>
      </c>
      <c r="K91" s="9">
        <v>0.68</v>
      </c>
    </row>
    <row r="92" spans="2:11" ht="12.75">
      <c r="B92" s="9" t="s">
        <v>162</v>
      </c>
      <c r="D92" s="8" t="s">
        <v>150</v>
      </c>
      <c r="G92" s="9">
        <v>59.5</v>
      </c>
      <c r="I92" s="9">
        <v>39</v>
      </c>
      <c r="K92" s="9">
        <v>85.8</v>
      </c>
    </row>
    <row r="93" spans="2:11" ht="12.75">
      <c r="B93" s="9" t="s">
        <v>163</v>
      </c>
      <c r="D93" s="8" t="s">
        <v>150</v>
      </c>
      <c r="G93" s="9">
        <v>95.9</v>
      </c>
      <c r="I93" s="9">
        <v>88.5</v>
      </c>
      <c r="K93" s="9">
        <v>97.6</v>
      </c>
    </row>
    <row r="99" spans="2:3" ht="12.75">
      <c r="B99" s="7"/>
      <c r="C99" s="7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Q143"/>
  <sheetViews>
    <sheetView zoomScale="75" zoomScaleNormal="75" workbookViewId="0" topLeftCell="B77">
      <selection activeCell="P90" sqref="P90"/>
    </sheetView>
  </sheetViews>
  <sheetFormatPr defaultColWidth="9.140625" defaultRowHeight="12.75"/>
  <cols>
    <col min="1" max="1" width="9.140625" style="21" hidden="1" customWidth="1"/>
    <col min="2" max="2" width="21.28125" style="19" customWidth="1"/>
    <col min="3" max="3" width="3.140625" style="19" customWidth="1"/>
    <col min="4" max="4" width="8.8515625" style="19" customWidth="1"/>
    <col min="5" max="5" width="4.28125" style="3" customWidth="1"/>
    <col min="6" max="6" width="9.421875" style="3" customWidth="1"/>
    <col min="7" max="7" width="4.28125" style="3" customWidth="1"/>
    <col min="8" max="8" width="9.8515625" style="3" customWidth="1"/>
    <col min="9" max="9" width="5.00390625" style="3" customWidth="1"/>
    <col min="10" max="10" width="10.57421875" style="3" customWidth="1"/>
    <col min="11" max="11" width="4.57421875" style="3" customWidth="1"/>
    <col min="12" max="12" width="9.8515625" style="20" customWidth="1"/>
    <col min="13" max="13" width="3.140625" style="21" customWidth="1"/>
    <col min="14" max="14" width="8.421875" style="21" customWidth="1"/>
    <col min="15" max="15" width="3.140625" style="21" customWidth="1"/>
    <col min="16" max="16" width="8.8515625" style="21" customWidth="1"/>
    <col min="17" max="17" width="3.140625" style="21" customWidth="1"/>
    <col min="18" max="18" width="9.00390625" style="21" bestFit="1" customWidth="1"/>
    <col min="19" max="19" width="3.140625" style="21" customWidth="1"/>
    <col min="20" max="20" width="9.28125" style="21" customWidth="1"/>
    <col min="21" max="21" width="4.28125" style="3" customWidth="1"/>
    <col min="22" max="22" width="7.57421875" style="3" bestFit="1" customWidth="1"/>
    <col min="23" max="23" width="4.57421875" style="3" customWidth="1"/>
    <col min="24" max="24" width="7.57421875" style="3" bestFit="1" customWidth="1"/>
    <col min="25" max="25" width="4.00390625" style="3" customWidth="1"/>
    <col min="26" max="26" width="7.57421875" style="3" bestFit="1" customWidth="1"/>
    <col min="27" max="27" width="4.00390625" style="3" customWidth="1"/>
    <col min="28" max="28" width="9.28125" style="21" bestFit="1" customWidth="1"/>
    <col min="29" max="29" width="3.140625" style="3" customWidth="1"/>
    <col min="30" max="30" width="11.28125" style="3" customWidth="1"/>
    <col min="31" max="31" width="3.140625" style="3" customWidth="1"/>
    <col min="32" max="32" width="10.57421875" style="3" customWidth="1"/>
    <col min="33" max="33" width="3.140625" style="3" customWidth="1"/>
    <col min="34" max="34" width="11.28125" style="3" customWidth="1"/>
    <col min="35" max="35" width="3.140625" style="3" customWidth="1"/>
    <col min="36" max="36" width="9.00390625" style="21" customWidth="1"/>
    <col min="37" max="37" width="2.7109375" style="21" customWidth="1"/>
    <col min="38" max="38" width="8.7109375" style="21" customWidth="1"/>
    <col min="39" max="39" width="2.7109375" style="21" customWidth="1"/>
    <col min="40" max="40" width="8.57421875" style="21" customWidth="1"/>
    <col min="41" max="41" width="2.7109375" style="21" customWidth="1"/>
    <col min="42" max="42" width="9.00390625" style="21" customWidth="1"/>
    <col min="43" max="43" width="2.28125" style="21" customWidth="1"/>
    <col min="44" max="44" width="9.140625" style="21" customWidth="1"/>
    <col min="45" max="45" width="2.140625" style="21" customWidth="1"/>
    <col min="46" max="46" width="9.8515625" style="21" customWidth="1"/>
    <col min="47" max="47" width="2.140625" style="21" customWidth="1"/>
    <col min="48" max="48" width="8.57421875" style="21" customWidth="1"/>
    <col min="49" max="49" width="2.140625" style="21" customWidth="1"/>
    <col min="50" max="50" width="9.140625" style="21" customWidth="1"/>
    <col min="51" max="51" width="2.140625" style="21" customWidth="1"/>
    <col min="52" max="16384" width="8.8515625" style="21" customWidth="1"/>
  </cols>
  <sheetData>
    <row r="1" spans="2:3" ht="12.75">
      <c r="B1" s="18" t="s">
        <v>133</v>
      </c>
      <c r="C1" s="18"/>
    </row>
    <row r="2" spans="2:3" ht="12.75">
      <c r="B2" s="18"/>
      <c r="C2" s="18"/>
    </row>
    <row r="4" spans="1:28" ht="12.75">
      <c r="A4" s="21" t="s">
        <v>179</v>
      </c>
      <c r="B4" s="18" t="s">
        <v>37</v>
      </c>
      <c r="C4" s="18"/>
      <c r="F4" s="3" t="s">
        <v>189</v>
      </c>
      <c r="H4" s="3" t="s">
        <v>190</v>
      </c>
      <c r="J4" s="3" t="s">
        <v>191</v>
      </c>
      <c r="L4" s="20" t="s">
        <v>32</v>
      </c>
      <c r="N4" s="3" t="s">
        <v>189</v>
      </c>
      <c r="O4" s="3"/>
      <c r="P4" s="3" t="s">
        <v>190</v>
      </c>
      <c r="Q4" s="3"/>
      <c r="R4" s="3" t="s">
        <v>191</v>
      </c>
      <c r="S4" s="3"/>
      <c r="T4" s="20" t="s">
        <v>32</v>
      </c>
      <c r="V4" s="3" t="s">
        <v>189</v>
      </c>
      <c r="X4" s="3" t="s">
        <v>190</v>
      </c>
      <c r="Z4" s="3" t="s">
        <v>191</v>
      </c>
      <c r="AB4" s="20" t="s">
        <v>32</v>
      </c>
    </row>
    <row r="5" spans="2:28" ht="12.75">
      <c r="B5" s="18"/>
      <c r="C5" s="18"/>
      <c r="N5" s="3"/>
      <c r="O5" s="3"/>
      <c r="P5" s="3"/>
      <c r="Q5" s="3"/>
      <c r="R5" s="3"/>
      <c r="S5" s="3"/>
      <c r="T5" s="20"/>
      <c r="AB5" s="20"/>
    </row>
    <row r="6" spans="2:28" ht="12.75">
      <c r="B6" s="19" t="s">
        <v>207</v>
      </c>
      <c r="C6" s="18"/>
      <c r="F6" s="3" t="s">
        <v>209</v>
      </c>
      <c r="H6" s="3" t="s">
        <v>209</v>
      </c>
      <c r="J6" s="3" t="s">
        <v>209</v>
      </c>
      <c r="L6" s="3" t="s">
        <v>209</v>
      </c>
      <c r="N6" s="3" t="s">
        <v>211</v>
      </c>
      <c r="O6" s="3"/>
      <c r="P6" s="3" t="s">
        <v>211</v>
      </c>
      <c r="Q6" s="3"/>
      <c r="R6" s="3" t="s">
        <v>211</v>
      </c>
      <c r="S6" s="3"/>
      <c r="T6" s="20" t="s">
        <v>211</v>
      </c>
      <c r="V6" s="3" t="s">
        <v>212</v>
      </c>
      <c r="X6" s="3" t="s">
        <v>212</v>
      </c>
      <c r="Z6" s="3" t="s">
        <v>212</v>
      </c>
      <c r="AB6" s="20" t="s">
        <v>212</v>
      </c>
    </row>
    <row r="7" spans="2:28" ht="12.75">
      <c r="B7" s="19" t="s">
        <v>208</v>
      </c>
      <c r="F7" s="3" t="s">
        <v>210</v>
      </c>
      <c r="H7" s="3" t="s">
        <v>210</v>
      </c>
      <c r="J7" s="3" t="s">
        <v>210</v>
      </c>
      <c r="L7" s="3" t="s">
        <v>210</v>
      </c>
      <c r="N7" s="20" t="s">
        <v>33</v>
      </c>
      <c r="P7" s="20" t="s">
        <v>33</v>
      </c>
      <c r="R7" s="20" t="s">
        <v>33</v>
      </c>
      <c r="T7" s="20" t="s">
        <v>33</v>
      </c>
      <c r="V7" s="20" t="s">
        <v>61</v>
      </c>
      <c r="X7" s="20" t="s">
        <v>61</v>
      </c>
      <c r="Z7" s="20" t="s">
        <v>61</v>
      </c>
      <c r="AB7" s="20" t="s">
        <v>61</v>
      </c>
    </row>
    <row r="8" spans="2:28" ht="12.75">
      <c r="B8" s="19" t="s">
        <v>215</v>
      </c>
      <c r="F8" s="3" t="s">
        <v>115</v>
      </c>
      <c r="H8" s="3" t="s">
        <v>115</v>
      </c>
      <c r="J8" s="3" t="s">
        <v>115</v>
      </c>
      <c r="L8" s="3" t="s">
        <v>115</v>
      </c>
      <c r="N8" s="20" t="s">
        <v>33</v>
      </c>
      <c r="P8" s="20" t="s">
        <v>33</v>
      </c>
      <c r="R8" s="20" t="s">
        <v>33</v>
      </c>
      <c r="T8" s="20" t="s">
        <v>33</v>
      </c>
      <c r="V8" s="20" t="s">
        <v>61</v>
      </c>
      <c r="X8" s="20" t="s">
        <v>61</v>
      </c>
      <c r="Z8" s="20" t="s">
        <v>61</v>
      </c>
      <c r="AB8" s="20" t="s">
        <v>61</v>
      </c>
    </row>
    <row r="9" spans="2:28" ht="12.75">
      <c r="B9" s="19" t="s">
        <v>178</v>
      </c>
      <c r="F9" s="20" t="s">
        <v>40</v>
      </c>
      <c r="H9" s="20" t="s">
        <v>40</v>
      </c>
      <c r="J9" s="20" t="s">
        <v>40</v>
      </c>
      <c r="L9" s="20" t="s">
        <v>40</v>
      </c>
      <c r="N9" s="20" t="s">
        <v>33</v>
      </c>
      <c r="P9" s="20" t="s">
        <v>33</v>
      </c>
      <c r="R9" s="20" t="s">
        <v>33</v>
      </c>
      <c r="T9" s="20" t="s">
        <v>33</v>
      </c>
      <c r="V9" s="20" t="s">
        <v>61</v>
      </c>
      <c r="X9" s="20" t="s">
        <v>61</v>
      </c>
      <c r="Z9" s="20" t="s">
        <v>61</v>
      </c>
      <c r="AB9" s="20" t="s">
        <v>61</v>
      </c>
    </row>
    <row r="10" spans="2:20" ht="12.75">
      <c r="B10" s="19" t="s">
        <v>34</v>
      </c>
      <c r="D10" s="19" t="s">
        <v>35</v>
      </c>
      <c r="E10" s="3" t="s">
        <v>36</v>
      </c>
      <c r="F10" s="20">
        <v>5196.434</v>
      </c>
      <c r="G10" s="3" t="s">
        <v>36</v>
      </c>
      <c r="H10" s="20">
        <v>5145.239</v>
      </c>
      <c r="I10" s="3" t="s">
        <v>36</v>
      </c>
      <c r="J10" s="20">
        <v>17377.012</v>
      </c>
      <c r="L10" s="22">
        <v>9239.562</v>
      </c>
      <c r="M10" s="3"/>
      <c r="N10" s="3">
        <v>6731.424</v>
      </c>
      <c r="O10" s="3"/>
      <c r="P10" s="3">
        <v>6731.424</v>
      </c>
      <c r="Q10" s="3"/>
      <c r="R10" s="3">
        <v>6735.96</v>
      </c>
      <c r="S10" s="3"/>
      <c r="T10" s="22">
        <v>6732.936</v>
      </c>
    </row>
    <row r="11" spans="2:20" ht="12.75">
      <c r="B11" s="19" t="s">
        <v>94</v>
      </c>
      <c r="D11" s="19" t="s">
        <v>35</v>
      </c>
      <c r="E11" s="3" t="s">
        <v>36</v>
      </c>
      <c r="F11" s="20">
        <v>7184.725</v>
      </c>
      <c r="G11" s="3" t="s">
        <v>36</v>
      </c>
      <c r="H11" s="20">
        <v>6714.176</v>
      </c>
      <c r="I11" s="3" t="s">
        <v>36</v>
      </c>
      <c r="J11" s="20">
        <v>6981.375</v>
      </c>
      <c r="L11" s="22">
        <v>6960.092</v>
      </c>
      <c r="M11" s="3"/>
      <c r="N11" s="3"/>
      <c r="O11" s="3"/>
      <c r="P11" s="3"/>
      <c r="Q11" s="3"/>
      <c r="R11" s="3"/>
      <c r="S11" s="3"/>
      <c r="T11" s="20"/>
    </row>
    <row r="12" spans="2:20" ht="12.75">
      <c r="B12" s="19" t="s">
        <v>173</v>
      </c>
      <c r="D12" s="19" t="s">
        <v>35</v>
      </c>
      <c r="E12" s="3" t="s">
        <v>36</v>
      </c>
      <c r="F12" s="20">
        <v>15.84</v>
      </c>
      <c r="G12" s="3" t="s">
        <v>36</v>
      </c>
      <c r="H12" s="20">
        <v>15.675</v>
      </c>
      <c r="I12" s="3" t="s">
        <v>36</v>
      </c>
      <c r="J12" s="20">
        <v>16.483</v>
      </c>
      <c r="L12" s="23">
        <v>15.999</v>
      </c>
      <c r="M12" s="3"/>
      <c r="N12" s="3"/>
      <c r="O12" s="3"/>
      <c r="P12" s="3"/>
      <c r="Q12" s="3"/>
      <c r="R12" s="3"/>
      <c r="S12" s="3"/>
      <c r="T12" s="20"/>
    </row>
    <row r="13" spans="2:20" ht="12.75">
      <c r="B13" s="19" t="s">
        <v>168</v>
      </c>
      <c r="D13" s="19" t="s">
        <v>35</v>
      </c>
      <c r="E13" s="3" t="s">
        <v>36</v>
      </c>
      <c r="F13" s="20">
        <v>0.832</v>
      </c>
      <c r="G13" s="3" t="s">
        <v>36</v>
      </c>
      <c r="H13" s="20">
        <v>0.824</v>
      </c>
      <c r="I13" s="3" t="s">
        <v>36</v>
      </c>
      <c r="J13" s="20">
        <v>1.544</v>
      </c>
      <c r="L13" s="23">
        <v>1.067</v>
      </c>
      <c r="M13" s="3"/>
      <c r="N13" s="3"/>
      <c r="O13" s="3"/>
      <c r="P13" s="3"/>
      <c r="Q13" s="3"/>
      <c r="R13" s="3"/>
      <c r="S13" s="3"/>
      <c r="T13" s="20"/>
    </row>
    <row r="14" spans="2:20" ht="12.75">
      <c r="B14" s="19" t="s">
        <v>169</v>
      </c>
      <c r="D14" s="19" t="s">
        <v>35</v>
      </c>
      <c r="E14" s="3" t="s">
        <v>36</v>
      </c>
      <c r="F14" s="20">
        <v>0.725</v>
      </c>
      <c r="G14" s="3" t="s">
        <v>36</v>
      </c>
      <c r="H14" s="20">
        <v>0.839</v>
      </c>
      <c r="I14" s="3" t="s">
        <v>36</v>
      </c>
      <c r="J14" s="20">
        <v>0.642</v>
      </c>
      <c r="L14" s="23">
        <v>0.735</v>
      </c>
      <c r="M14" s="3"/>
      <c r="N14" s="3"/>
      <c r="O14" s="3"/>
      <c r="P14" s="3"/>
      <c r="Q14" s="3"/>
      <c r="R14" s="3"/>
      <c r="S14" s="3"/>
      <c r="T14" s="20"/>
    </row>
    <row r="15" spans="2:20" ht="12.75">
      <c r="B15" s="19" t="s">
        <v>170</v>
      </c>
      <c r="D15" s="19" t="s">
        <v>35</v>
      </c>
      <c r="E15" s="3" t="s">
        <v>36</v>
      </c>
      <c r="F15" s="20">
        <v>0.104</v>
      </c>
      <c r="G15" s="3" t="s">
        <v>36</v>
      </c>
      <c r="H15" s="20">
        <v>0.103</v>
      </c>
      <c r="I15" s="3" t="s">
        <v>36</v>
      </c>
      <c r="J15" s="20">
        <v>0.104</v>
      </c>
      <c r="L15" s="23">
        <v>0.104</v>
      </c>
      <c r="M15" s="3"/>
      <c r="N15" s="3"/>
      <c r="O15" s="3"/>
      <c r="P15" s="3"/>
      <c r="Q15" s="3"/>
      <c r="R15" s="3"/>
      <c r="S15" s="3"/>
      <c r="T15" s="20"/>
    </row>
    <row r="16" spans="2:20" ht="12.75">
      <c r="B16" s="19" t="s">
        <v>176</v>
      </c>
      <c r="D16" s="19" t="s">
        <v>35</v>
      </c>
      <c r="E16" s="3" t="s">
        <v>36</v>
      </c>
      <c r="F16" s="20">
        <v>0.104</v>
      </c>
      <c r="G16" s="3" t="s">
        <v>36</v>
      </c>
      <c r="H16" s="20">
        <v>0.103</v>
      </c>
      <c r="I16" s="3" t="s">
        <v>36</v>
      </c>
      <c r="J16" s="20">
        <v>0.104</v>
      </c>
      <c r="L16" s="23">
        <v>0.104</v>
      </c>
      <c r="M16" s="3"/>
      <c r="N16" s="3"/>
      <c r="O16" s="3"/>
      <c r="P16" s="3"/>
      <c r="Q16" s="3"/>
      <c r="R16" s="3"/>
      <c r="S16" s="3"/>
      <c r="T16" s="20"/>
    </row>
    <row r="17" spans="2:20" ht="12.75">
      <c r="B17" s="19" t="s">
        <v>166</v>
      </c>
      <c r="D17" s="19" t="s">
        <v>35</v>
      </c>
      <c r="F17" s="20">
        <v>8.899</v>
      </c>
      <c r="H17" s="20">
        <v>9.766</v>
      </c>
      <c r="J17" s="20">
        <v>13.612</v>
      </c>
      <c r="L17" s="23">
        <v>10.759</v>
      </c>
      <c r="M17" s="3"/>
      <c r="N17" s="20">
        <v>331.128</v>
      </c>
      <c r="O17" s="20"/>
      <c r="P17" s="20">
        <v>331.128</v>
      </c>
      <c r="Q17" s="20"/>
      <c r="R17" s="20">
        <v>331.128</v>
      </c>
      <c r="S17" s="20"/>
      <c r="T17" s="22">
        <v>331.128</v>
      </c>
    </row>
    <row r="18" spans="2:43" ht="12.75">
      <c r="B18" s="19" t="s">
        <v>174</v>
      </c>
      <c r="D18" s="19" t="s">
        <v>35</v>
      </c>
      <c r="E18" s="3" t="s">
        <v>36</v>
      </c>
      <c r="F18" s="20">
        <v>16.629</v>
      </c>
      <c r="G18" s="3" t="s">
        <v>36</v>
      </c>
      <c r="H18" s="20">
        <v>18.445</v>
      </c>
      <c r="I18" s="3" t="s">
        <v>36</v>
      </c>
      <c r="J18" s="20">
        <v>17.432</v>
      </c>
      <c r="L18" s="23">
        <v>17.502</v>
      </c>
      <c r="M18" s="3"/>
      <c r="N18" s="3"/>
      <c r="O18" s="3"/>
      <c r="P18" s="3"/>
      <c r="Q18" s="3"/>
      <c r="R18" s="3"/>
      <c r="S18" s="3"/>
      <c r="T18" s="20"/>
      <c r="AB18" s="3"/>
      <c r="AJ18" s="3"/>
      <c r="AK18" s="3"/>
      <c r="AL18" s="3"/>
      <c r="AM18" s="3"/>
      <c r="AN18" s="3"/>
      <c r="AO18" s="3"/>
      <c r="AP18" s="3"/>
      <c r="AQ18" s="3"/>
    </row>
    <row r="19" spans="2:43" ht="12.75">
      <c r="B19" s="19" t="s">
        <v>181</v>
      </c>
      <c r="D19" s="19" t="s">
        <v>35</v>
      </c>
      <c r="E19" s="3" t="s">
        <v>36</v>
      </c>
      <c r="F19" s="20">
        <v>0.104</v>
      </c>
      <c r="G19" s="3" t="s">
        <v>36</v>
      </c>
      <c r="H19" s="20">
        <v>0.103</v>
      </c>
      <c r="I19" s="3" t="s">
        <v>36</v>
      </c>
      <c r="J19" s="20">
        <v>0.104</v>
      </c>
      <c r="L19" s="23">
        <v>0.104</v>
      </c>
      <c r="M19" s="3"/>
      <c r="N19" s="3"/>
      <c r="O19" s="3"/>
      <c r="P19" s="3"/>
      <c r="Q19" s="3"/>
      <c r="R19" s="3"/>
      <c r="S19" s="3"/>
      <c r="T19" s="20"/>
      <c r="AB19" s="3"/>
      <c r="AJ19" s="3"/>
      <c r="AK19" s="3"/>
      <c r="AL19" s="3"/>
      <c r="AM19" s="3"/>
      <c r="AN19" s="3"/>
      <c r="AO19" s="3"/>
      <c r="AP19" s="3"/>
      <c r="AQ19" s="3"/>
    </row>
    <row r="20" spans="2:43" ht="12.75">
      <c r="B20" s="19" t="s">
        <v>177</v>
      </c>
      <c r="D20" s="19" t="s">
        <v>35</v>
      </c>
      <c r="E20" s="3" t="s">
        <v>36</v>
      </c>
      <c r="F20" s="20">
        <v>2.608</v>
      </c>
      <c r="G20" s="3" t="s">
        <v>36</v>
      </c>
      <c r="H20" s="20">
        <v>2.573</v>
      </c>
      <c r="I20" s="3" t="s">
        <v>36</v>
      </c>
      <c r="J20" s="20">
        <v>2.61</v>
      </c>
      <c r="L20" s="23">
        <v>2.597</v>
      </c>
      <c r="M20" s="3"/>
      <c r="N20" s="3"/>
      <c r="O20" s="3"/>
      <c r="P20" s="3"/>
      <c r="Q20" s="3"/>
      <c r="R20" s="3"/>
      <c r="S20" s="3"/>
      <c r="T20" s="20"/>
      <c r="AB20" s="3"/>
      <c r="AJ20" s="3"/>
      <c r="AK20" s="3"/>
      <c r="AL20" s="3"/>
      <c r="AM20" s="3"/>
      <c r="AN20" s="3"/>
      <c r="AO20" s="3"/>
      <c r="AP20" s="3"/>
      <c r="AQ20" s="3"/>
    </row>
    <row r="21" spans="2:43" ht="12.75">
      <c r="B21" s="19" t="s">
        <v>172</v>
      </c>
      <c r="D21" s="19" t="s">
        <v>35</v>
      </c>
      <c r="E21" s="3" t="s">
        <v>36</v>
      </c>
      <c r="F21" s="20">
        <v>0.832</v>
      </c>
      <c r="G21" s="3" t="s">
        <v>36</v>
      </c>
      <c r="H21" s="20">
        <v>1.605</v>
      </c>
      <c r="I21" s="3" t="s">
        <v>36</v>
      </c>
      <c r="J21" s="20">
        <v>0.832</v>
      </c>
      <c r="L21" s="23">
        <v>1.09</v>
      </c>
      <c r="M21" s="3"/>
      <c r="N21" s="3"/>
      <c r="O21" s="3"/>
      <c r="P21" s="3"/>
      <c r="Q21" s="3"/>
      <c r="R21" s="3"/>
      <c r="S21" s="3"/>
      <c r="T21" s="20"/>
      <c r="AB21" s="3"/>
      <c r="AJ21" s="3"/>
      <c r="AK21" s="3"/>
      <c r="AL21" s="3"/>
      <c r="AM21" s="3"/>
      <c r="AN21" s="3"/>
      <c r="AO21" s="3"/>
      <c r="AP21" s="3"/>
      <c r="AQ21" s="3"/>
    </row>
    <row r="22" spans="13:43" ht="12.75">
      <c r="M22" s="3"/>
      <c r="N22" s="3"/>
      <c r="O22" s="3"/>
      <c r="P22" s="3"/>
      <c r="Q22" s="3"/>
      <c r="R22" s="3"/>
      <c r="S22" s="3"/>
      <c r="T22" s="3"/>
      <c r="AB22" s="3"/>
      <c r="AJ22" s="3"/>
      <c r="AK22" s="3"/>
      <c r="AL22" s="3"/>
      <c r="AM22" s="3"/>
      <c r="AN22" s="3"/>
      <c r="AO22" s="3"/>
      <c r="AP22" s="3"/>
      <c r="AQ22" s="3"/>
    </row>
    <row r="23" spans="2:43" ht="12.75">
      <c r="B23" s="19" t="s">
        <v>107</v>
      </c>
      <c r="D23" s="19" t="s">
        <v>29</v>
      </c>
      <c r="F23" s="20">
        <f>emiss!$G$13</f>
        <v>162567</v>
      </c>
      <c r="G23" s="20"/>
      <c r="H23" s="42">
        <f>emiss!$I$13</f>
        <v>168691</v>
      </c>
      <c r="I23" s="20"/>
      <c r="J23" s="20">
        <f>emiss!$K$13</f>
        <v>167774</v>
      </c>
      <c r="K23" s="20"/>
      <c r="L23" s="20">
        <f>emiss!$M$13</f>
        <v>166344</v>
      </c>
      <c r="M23" s="24"/>
      <c r="N23" s="20">
        <f>emiss!$G$13</f>
        <v>162567</v>
      </c>
      <c r="O23" s="20"/>
      <c r="P23" s="42">
        <f>emiss!$I$13</f>
        <v>168691</v>
      </c>
      <c r="Q23" s="20"/>
      <c r="R23" s="20">
        <f>emiss!$K$13</f>
        <v>167774</v>
      </c>
      <c r="S23" s="20"/>
      <c r="T23" s="20">
        <f>emiss!$M$13</f>
        <v>166344</v>
      </c>
      <c r="V23" s="20">
        <f>emiss!$G$13</f>
        <v>162567</v>
      </c>
      <c r="W23" s="20"/>
      <c r="X23" s="42">
        <f>emiss!$I$13</f>
        <v>168691</v>
      </c>
      <c r="Y23" s="20"/>
      <c r="Z23" s="20">
        <f>emiss!$K$13</f>
        <v>167774</v>
      </c>
      <c r="AA23" s="20"/>
      <c r="AB23" s="20">
        <f>emiss!$M$13</f>
        <v>166344</v>
      </c>
      <c r="AJ23" s="3"/>
      <c r="AK23" s="3"/>
      <c r="AL23" s="3"/>
      <c r="AM23" s="3"/>
      <c r="AN23" s="3"/>
      <c r="AO23" s="3"/>
      <c r="AP23" s="3"/>
      <c r="AQ23" s="3"/>
    </row>
    <row r="24" spans="2:43" ht="12.75">
      <c r="B24" s="19" t="s">
        <v>52</v>
      </c>
      <c r="D24" s="19" t="s">
        <v>30</v>
      </c>
      <c r="F24" s="20">
        <f>emiss!$G$20</f>
        <v>8.6</v>
      </c>
      <c r="G24" s="20"/>
      <c r="H24" s="20">
        <f>emiss!$I$20</f>
        <v>8.2</v>
      </c>
      <c r="I24" s="20"/>
      <c r="J24" s="20">
        <f>emiss!$K$20</f>
        <v>8</v>
      </c>
      <c r="K24" s="20"/>
      <c r="L24" s="23">
        <f>emiss!$M$20</f>
        <v>8.266666666666666</v>
      </c>
      <c r="M24" s="24"/>
      <c r="N24" s="20">
        <f>emiss!$G$20</f>
        <v>8.6</v>
      </c>
      <c r="O24" s="20"/>
      <c r="P24" s="20">
        <f>emiss!$I$20</f>
        <v>8.2</v>
      </c>
      <c r="Q24" s="20"/>
      <c r="R24" s="20">
        <f>emiss!$K$20</f>
        <v>8</v>
      </c>
      <c r="S24" s="20"/>
      <c r="T24" s="22">
        <f>emiss!$M$20</f>
        <v>8.266666666666666</v>
      </c>
      <c r="V24" s="20">
        <f>emiss!$G$20</f>
        <v>8.6</v>
      </c>
      <c r="W24" s="20"/>
      <c r="X24" s="20">
        <f>emiss!$I$20</f>
        <v>8.2</v>
      </c>
      <c r="Y24" s="20"/>
      <c r="Z24" s="20">
        <f>emiss!$K$20</f>
        <v>8</v>
      </c>
      <c r="AA24" s="20"/>
      <c r="AB24" s="22">
        <f>emiss!$M$20</f>
        <v>8.266666666666666</v>
      </c>
      <c r="AJ24" s="3"/>
      <c r="AK24" s="3"/>
      <c r="AL24" s="3"/>
      <c r="AM24" s="3"/>
      <c r="AN24" s="3"/>
      <c r="AO24" s="3"/>
      <c r="AP24" s="3"/>
      <c r="AQ24" s="3"/>
    </row>
    <row r="25" spans="12:43" ht="12" customHeight="1">
      <c r="L25" s="22"/>
      <c r="M25" s="24"/>
      <c r="N25" s="24"/>
      <c r="O25" s="24"/>
      <c r="P25" s="24"/>
      <c r="Q25" s="24"/>
      <c r="R25" s="24"/>
      <c r="S25" s="24"/>
      <c r="T25" s="22"/>
      <c r="AB25" s="3"/>
      <c r="AJ25" s="3"/>
      <c r="AK25" s="3"/>
      <c r="AL25" s="3"/>
      <c r="AM25" s="3"/>
      <c r="AN25" s="3"/>
      <c r="AO25" s="3"/>
      <c r="AP25" s="3"/>
      <c r="AQ25" s="3"/>
    </row>
    <row r="26" spans="2:43" ht="12" customHeight="1">
      <c r="B26" s="19" t="s">
        <v>180</v>
      </c>
      <c r="D26" s="19" t="s">
        <v>111</v>
      </c>
      <c r="L26" s="22"/>
      <c r="M26" s="24"/>
      <c r="N26" s="24"/>
      <c r="O26" s="24"/>
      <c r="P26" s="24"/>
      <c r="Q26" s="24"/>
      <c r="R26" s="24"/>
      <c r="S26" s="24"/>
      <c r="T26" s="22"/>
      <c r="AB26" s="3"/>
      <c r="AJ26" s="3"/>
      <c r="AK26" s="3"/>
      <c r="AL26" s="3"/>
      <c r="AM26" s="3"/>
      <c r="AN26" s="3"/>
      <c r="AO26" s="3"/>
      <c r="AP26" s="3"/>
      <c r="AQ26" s="3"/>
    </row>
    <row r="27" spans="2:43" ht="12" customHeight="1">
      <c r="B27" s="19" t="s">
        <v>110</v>
      </c>
      <c r="D27" s="19" t="s">
        <v>111</v>
      </c>
      <c r="L27" s="22"/>
      <c r="M27" s="24"/>
      <c r="N27" s="24"/>
      <c r="O27" s="24"/>
      <c r="P27" s="24"/>
      <c r="Q27" s="24"/>
      <c r="R27" s="24"/>
      <c r="S27" s="24"/>
      <c r="T27" s="22"/>
      <c r="V27" s="22">
        <f>V23/9000*(21-V24)/21*60</f>
        <v>639.9462857142858</v>
      </c>
      <c r="X27" s="22">
        <f>X23/9000*(21-X24)/21*60</f>
        <v>685.4745396825398</v>
      </c>
      <c r="Z27" s="22">
        <f>Z23/9000*(21-Z24)/21*60</f>
        <v>692.400634920635</v>
      </c>
      <c r="AB27" s="22">
        <f>AB23/9000*(21-AB24)/21*60</f>
        <v>672.4170158730159</v>
      </c>
      <c r="AJ27" s="3"/>
      <c r="AK27" s="3"/>
      <c r="AL27" s="3"/>
      <c r="AM27" s="3"/>
      <c r="AN27" s="3"/>
      <c r="AO27" s="3"/>
      <c r="AP27" s="3"/>
      <c r="AQ27" s="3"/>
    </row>
    <row r="28" spans="12:43" ht="12" customHeight="1">
      <c r="L28" s="22"/>
      <c r="M28" s="24"/>
      <c r="N28" s="24"/>
      <c r="O28" s="24"/>
      <c r="P28" s="24"/>
      <c r="Q28" s="24"/>
      <c r="R28" s="24"/>
      <c r="S28" s="24"/>
      <c r="T28" s="22"/>
      <c r="AB28" s="22"/>
      <c r="AJ28" s="3"/>
      <c r="AK28" s="3"/>
      <c r="AL28" s="3"/>
      <c r="AM28" s="3"/>
      <c r="AN28" s="3"/>
      <c r="AO28" s="3"/>
      <c r="AP28" s="3"/>
      <c r="AQ28" s="3"/>
    </row>
    <row r="29" spans="2:43" ht="12" customHeight="1">
      <c r="B29" s="39" t="s">
        <v>134</v>
      </c>
      <c r="C29" s="39"/>
      <c r="L29" s="22"/>
      <c r="M29" s="24"/>
      <c r="N29" s="24"/>
      <c r="O29" s="24"/>
      <c r="P29" s="24"/>
      <c r="Q29" s="24"/>
      <c r="R29" s="24"/>
      <c r="S29" s="24"/>
      <c r="T29" s="22"/>
      <c r="AB29" s="22"/>
      <c r="AJ29" s="3"/>
      <c r="AK29" s="3"/>
      <c r="AL29" s="3"/>
      <c r="AM29" s="3"/>
      <c r="AN29" s="3"/>
      <c r="AO29" s="3"/>
      <c r="AP29" s="3"/>
      <c r="AQ29" s="3"/>
    </row>
    <row r="30" spans="2:43" ht="12.75">
      <c r="B30" s="19" t="s">
        <v>34</v>
      </c>
      <c r="D30" s="19" t="s">
        <v>109</v>
      </c>
      <c r="E30" s="3">
        <v>100</v>
      </c>
      <c r="F30" s="22">
        <f>F10/F$23/60/0.0283*1000*(21-7)/(21-F$24)</f>
        <v>21.25404955948552</v>
      </c>
      <c r="G30" s="3">
        <v>100</v>
      </c>
      <c r="H30" s="22">
        <f>H10/H$23/60/0.0283*1000*(21-7)/(21-H$24)</f>
        <v>19.64689934797532</v>
      </c>
      <c r="I30" s="3">
        <v>100</v>
      </c>
      <c r="J30" s="22">
        <f>J10/J$23/60/0.0283*1000*(21-7)/(21-J$24)</f>
        <v>65.68972436449975</v>
      </c>
      <c r="K30" s="3">
        <v>100</v>
      </c>
      <c r="L30" s="22">
        <f>AVERAGE(J30,H30,F30)</f>
        <v>35.530224423986866</v>
      </c>
      <c r="M30" s="24"/>
      <c r="N30" s="22">
        <f>N10/N$23/60/0.0283*1000*(21-7)/(21-N$24)</f>
        <v>27.532346086164132</v>
      </c>
      <c r="O30" s="24"/>
      <c r="P30" s="22">
        <f>P10/P$23/60/0.0283*1000*(21-7)/(21-P$24)</f>
        <v>25.703686417005205</v>
      </c>
      <c r="Q30" s="24"/>
      <c r="R30" s="22">
        <f>R10/R$23/60/0.0283*1000*(21-7)/(21-R$24)</f>
        <v>25.46371929364472</v>
      </c>
      <c r="S30" s="24"/>
      <c r="T30" s="22">
        <f>T10/T$23/60/0.0283*1000*(21-7)/(21-T$24)</f>
        <v>26.208706496122076</v>
      </c>
      <c r="U30" s="3">
        <f>F30/V30*100</f>
        <v>43.565525344114604</v>
      </c>
      <c r="V30" s="22">
        <f>SUM(N30,F30)</f>
        <v>48.78639564564965</v>
      </c>
      <c r="W30" s="3">
        <f>H30/X30*100</f>
        <v>43.32226148035016</v>
      </c>
      <c r="X30" s="22">
        <f>SUM(P30,H30)</f>
        <v>45.35058576498052</v>
      </c>
      <c r="Y30" s="3">
        <f>J30/Z30*100</f>
        <v>72.06499472566053</v>
      </c>
      <c r="Z30" s="22">
        <f>SUM(R30,J30)</f>
        <v>91.15344365814447</v>
      </c>
      <c r="AA30" s="3">
        <f>L30/AB30*100</f>
        <v>57.54914102734219</v>
      </c>
      <c r="AB30" s="22">
        <f>SUM(T30,L30)</f>
        <v>61.73893092010894</v>
      </c>
      <c r="AJ30" s="3"/>
      <c r="AK30" s="3"/>
      <c r="AL30" s="3"/>
      <c r="AM30" s="3"/>
      <c r="AN30" s="3"/>
      <c r="AO30" s="3"/>
      <c r="AP30" s="3"/>
      <c r="AQ30" s="3"/>
    </row>
    <row r="31" spans="2:43" ht="12.75">
      <c r="B31" s="19" t="s">
        <v>94</v>
      </c>
      <c r="D31" s="19" t="s">
        <v>56</v>
      </c>
      <c r="E31" s="3">
        <v>100</v>
      </c>
      <c r="F31" s="22">
        <f aca="true" t="shared" si="0" ref="F31:H41">F11/F$23/60/0.0283*1000000*(21-7)/(21-F$24)</f>
        <v>29386.402525515496</v>
      </c>
      <c r="G31" s="3">
        <v>100</v>
      </c>
      <c r="H31" s="22">
        <f t="shared" si="0"/>
        <v>25637.825585282153</v>
      </c>
      <c r="I31" s="3">
        <v>100</v>
      </c>
      <c r="J31" s="22">
        <f aca="true" t="shared" si="1" ref="J31:J41">J11/J$23/60/0.0283*1000000*(21-7)/(21-J$24)</f>
        <v>26391.453227701604</v>
      </c>
      <c r="K31" s="3">
        <v>100</v>
      </c>
      <c r="L31" s="22">
        <f aca="true" t="shared" si="2" ref="L31:L41">AVERAGE(J31,H31,F31)</f>
        <v>27138.56044616642</v>
      </c>
      <c r="M31" s="24"/>
      <c r="N31" s="24"/>
      <c r="O31" s="24"/>
      <c r="P31" s="24"/>
      <c r="Q31" s="24"/>
      <c r="R31" s="24"/>
      <c r="S31" s="24"/>
      <c r="T31" s="22"/>
      <c r="U31" s="3">
        <v>100</v>
      </c>
      <c r="V31" s="22">
        <f aca="true" t="shared" si="3" ref="V31:AB41">SUM(N31,F31)</f>
        <v>29386.402525515496</v>
      </c>
      <c r="W31" s="3">
        <v>100</v>
      </c>
      <c r="X31" s="22">
        <f t="shared" si="3"/>
        <v>25637.825585282153</v>
      </c>
      <c r="Y31" s="3">
        <v>100</v>
      </c>
      <c r="Z31" s="22">
        <f t="shared" si="3"/>
        <v>26391.453227701604</v>
      </c>
      <c r="AA31" s="3">
        <v>100</v>
      </c>
      <c r="AB31" s="22">
        <f t="shared" si="3"/>
        <v>27138.56044616642</v>
      </c>
      <c r="AJ31" s="3"/>
      <c r="AK31" s="3"/>
      <c r="AL31" s="3"/>
      <c r="AM31" s="3"/>
      <c r="AN31" s="3"/>
      <c r="AO31" s="3"/>
      <c r="AP31" s="3"/>
      <c r="AQ31" s="3"/>
    </row>
    <row r="32" spans="2:43" ht="12.75">
      <c r="B32" s="19" t="s">
        <v>173</v>
      </c>
      <c r="D32" s="19" t="s">
        <v>56</v>
      </c>
      <c r="E32" s="3">
        <v>100</v>
      </c>
      <c r="F32" s="22">
        <f t="shared" si="0"/>
        <v>64.78753410940091</v>
      </c>
      <c r="G32" s="3">
        <v>100</v>
      </c>
      <c r="H32" s="22">
        <f t="shared" si="0"/>
        <v>59.85439107483893</v>
      </c>
      <c r="I32" s="3">
        <v>100</v>
      </c>
      <c r="J32" s="22">
        <f t="shared" si="1"/>
        <v>62.310121366092716</v>
      </c>
      <c r="K32" s="3">
        <v>100</v>
      </c>
      <c r="L32" s="22">
        <f t="shared" si="2"/>
        <v>62.317348850110854</v>
      </c>
      <c r="M32" s="24"/>
      <c r="N32" s="24"/>
      <c r="O32" s="24"/>
      <c r="P32" s="24"/>
      <c r="Q32" s="24"/>
      <c r="R32" s="24"/>
      <c r="S32" s="24"/>
      <c r="T32" s="22"/>
      <c r="U32" s="3">
        <v>100</v>
      </c>
      <c r="V32" s="22">
        <f t="shared" si="3"/>
        <v>64.78753410940091</v>
      </c>
      <c r="W32" s="3">
        <v>100</v>
      </c>
      <c r="X32" s="22">
        <f t="shared" si="3"/>
        <v>59.85439107483893</v>
      </c>
      <c r="Y32" s="3">
        <v>100</v>
      </c>
      <c r="Z32" s="22">
        <f t="shared" si="3"/>
        <v>62.310121366092716</v>
      </c>
      <c r="AA32" s="3">
        <v>100</v>
      </c>
      <c r="AB32" s="22">
        <f t="shared" si="3"/>
        <v>62.317348850110854</v>
      </c>
      <c r="AJ32" s="3"/>
      <c r="AK32" s="3"/>
      <c r="AL32" s="3"/>
      <c r="AM32" s="3"/>
      <c r="AN32" s="3"/>
      <c r="AO32" s="3"/>
      <c r="AP32" s="3"/>
      <c r="AQ32" s="3"/>
    </row>
    <row r="33" spans="2:43" ht="12.75">
      <c r="B33" s="19" t="s">
        <v>168</v>
      </c>
      <c r="D33" s="19" t="s">
        <v>56</v>
      </c>
      <c r="E33" s="3">
        <v>100</v>
      </c>
      <c r="F33" s="22">
        <f t="shared" si="0"/>
        <v>3.4029815895846927</v>
      </c>
      <c r="G33" s="3">
        <v>100</v>
      </c>
      <c r="H33" s="22">
        <f t="shared" si="0"/>
        <v>3.1464126472515006</v>
      </c>
      <c r="I33" s="3">
        <v>100</v>
      </c>
      <c r="J33" s="22">
        <f t="shared" si="1"/>
        <v>5.836730412500586</v>
      </c>
      <c r="K33" s="3">
        <v>100</v>
      </c>
      <c r="L33" s="22">
        <f t="shared" si="2"/>
        <v>4.128708216445593</v>
      </c>
      <c r="M33" s="24"/>
      <c r="N33" s="24"/>
      <c r="O33" s="24"/>
      <c r="P33" s="24"/>
      <c r="Q33" s="24"/>
      <c r="R33" s="24"/>
      <c r="S33" s="24"/>
      <c r="T33" s="22"/>
      <c r="U33" s="3">
        <v>100</v>
      </c>
      <c r="V33" s="22">
        <f t="shared" si="3"/>
        <v>3.4029815895846927</v>
      </c>
      <c r="W33" s="3">
        <v>100</v>
      </c>
      <c r="X33" s="22">
        <f t="shared" si="3"/>
        <v>3.1464126472515006</v>
      </c>
      <c r="Y33" s="3">
        <v>100</v>
      </c>
      <c r="Z33" s="22">
        <f t="shared" si="3"/>
        <v>5.836730412500586</v>
      </c>
      <c r="AA33" s="3">
        <v>100</v>
      </c>
      <c r="AB33" s="22">
        <f t="shared" si="3"/>
        <v>4.128708216445593</v>
      </c>
      <c r="AJ33" s="3"/>
      <c r="AK33" s="3"/>
      <c r="AL33" s="3"/>
      <c r="AM33" s="3"/>
      <c r="AN33" s="3"/>
      <c r="AO33" s="3"/>
      <c r="AP33" s="3"/>
      <c r="AQ33" s="3"/>
    </row>
    <row r="34" spans="2:43" ht="12.75">
      <c r="B34" s="19" t="s">
        <v>169</v>
      </c>
      <c r="D34" s="19" t="s">
        <v>56</v>
      </c>
      <c r="E34" s="3">
        <v>100</v>
      </c>
      <c r="F34" s="22">
        <f t="shared" si="0"/>
        <v>2.9653385245780086</v>
      </c>
      <c r="G34" s="3">
        <v>100</v>
      </c>
      <c r="H34" s="22">
        <f t="shared" si="0"/>
        <v>3.2036895765097197</v>
      </c>
      <c r="I34" s="3">
        <v>100</v>
      </c>
      <c r="J34" s="22">
        <f t="shared" si="1"/>
        <v>2.4269306507936372</v>
      </c>
      <c r="K34" s="3">
        <v>100</v>
      </c>
      <c r="L34" s="22">
        <f t="shared" si="2"/>
        <v>2.865319583960455</v>
      </c>
      <c r="M34" s="24"/>
      <c r="N34" s="24"/>
      <c r="O34" s="24"/>
      <c r="P34" s="24"/>
      <c r="Q34" s="24"/>
      <c r="R34" s="24"/>
      <c r="S34" s="24"/>
      <c r="T34" s="22"/>
      <c r="U34" s="3">
        <v>100</v>
      </c>
      <c r="V34" s="22">
        <f t="shared" si="3"/>
        <v>2.9653385245780086</v>
      </c>
      <c r="W34" s="3">
        <v>100</v>
      </c>
      <c r="X34" s="22">
        <f t="shared" si="3"/>
        <v>3.2036895765097197</v>
      </c>
      <c r="Y34" s="3">
        <v>100</v>
      </c>
      <c r="Z34" s="22">
        <f t="shared" si="3"/>
        <v>2.4269306507936372</v>
      </c>
      <c r="AA34" s="3">
        <v>100</v>
      </c>
      <c r="AB34" s="22">
        <f t="shared" si="3"/>
        <v>2.865319583960455</v>
      </c>
      <c r="AJ34" s="3"/>
      <c r="AK34" s="3"/>
      <c r="AL34" s="3"/>
      <c r="AM34" s="3"/>
      <c r="AN34" s="3"/>
      <c r="AO34" s="3"/>
      <c r="AP34" s="3"/>
      <c r="AQ34" s="3"/>
    </row>
    <row r="35" spans="2:43" ht="12.75">
      <c r="B35" s="19" t="s">
        <v>170</v>
      </c>
      <c r="D35" s="19" t="s">
        <v>56</v>
      </c>
      <c r="E35" s="3">
        <v>100</v>
      </c>
      <c r="F35" s="22">
        <f t="shared" si="0"/>
        <v>0.4253726986980866</v>
      </c>
      <c r="G35" s="3">
        <v>100</v>
      </c>
      <c r="H35" s="22">
        <f t="shared" si="0"/>
        <v>0.3933015809064376</v>
      </c>
      <c r="I35" s="3">
        <v>100</v>
      </c>
      <c r="J35" s="22">
        <f t="shared" si="1"/>
        <v>0.39314764436532434</v>
      </c>
      <c r="K35" s="3">
        <v>100</v>
      </c>
      <c r="L35" s="22">
        <f t="shared" si="2"/>
        <v>0.40394064132328283</v>
      </c>
      <c r="M35" s="24"/>
      <c r="N35" s="24"/>
      <c r="O35" s="24"/>
      <c r="P35" s="24"/>
      <c r="Q35" s="24"/>
      <c r="R35" s="24"/>
      <c r="S35" s="24"/>
      <c r="T35" s="22"/>
      <c r="U35" s="3">
        <v>100</v>
      </c>
      <c r="V35" s="22">
        <f t="shared" si="3"/>
        <v>0.4253726986980866</v>
      </c>
      <c r="W35" s="3">
        <v>100</v>
      </c>
      <c r="X35" s="22">
        <f t="shared" si="3"/>
        <v>0.3933015809064376</v>
      </c>
      <c r="Y35" s="3">
        <v>100</v>
      </c>
      <c r="Z35" s="22">
        <f t="shared" si="3"/>
        <v>0.39314764436532434</v>
      </c>
      <c r="AA35" s="3">
        <v>100</v>
      </c>
      <c r="AB35" s="22">
        <f t="shared" si="3"/>
        <v>0.40394064132328283</v>
      </c>
      <c r="AJ35" s="3"/>
      <c r="AK35" s="3"/>
      <c r="AL35" s="3"/>
      <c r="AM35" s="3"/>
      <c r="AN35" s="3"/>
      <c r="AO35" s="3"/>
      <c r="AP35" s="3"/>
      <c r="AQ35" s="3"/>
    </row>
    <row r="36" spans="2:43" ht="12.75">
      <c r="B36" s="19" t="s">
        <v>176</v>
      </c>
      <c r="D36" s="19" t="s">
        <v>56</v>
      </c>
      <c r="E36" s="3">
        <v>100</v>
      </c>
      <c r="F36" s="22">
        <f t="shared" si="0"/>
        <v>0.4253726986980866</v>
      </c>
      <c r="G36" s="3">
        <v>100</v>
      </c>
      <c r="H36" s="22">
        <f t="shared" si="0"/>
        <v>0.3933015809064376</v>
      </c>
      <c r="I36" s="3">
        <v>100</v>
      </c>
      <c r="J36" s="22">
        <f t="shared" si="1"/>
        <v>0.39314764436532434</v>
      </c>
      <c r="K36" s="3">
        <v>100</v>
      </c>
      <c r="L36" s="22">
        <f t="shared" si="2"/>
        <v>0.40394064132328283</v>
      </c>
      <c r="M36" s="24"/>
      <c r="N36" s="24"/>
      <c r="O36" s="24"/>
      <c r="P36" s="24"/>
      <c r="Q36" s="24"/>
      <c r="R36" s="24"/>
      <c r="S36" s="24"/>
      <c r="T36" s="22"/>
      <c r="U36" s="3">
        <v>100</v>
      </c>
      <c r="V36" s="22">
        <f t="shared" si="3"/>
        <v>0.4253726986980866</v>
      </c>
      <c r="W36" s="3">
        <v>100</v>
      </c>
      <c r="X36" s="22">
        <f t="shared" si="3"/>
        <v>0.3933015809064376</v>
      </c>
      <c r="Y36" s="3">
        <v>100</v>
      </c>
      <c r="Z36" s="22">
        <f t="shared" si="3"/>
        <v>0.39314764436532434</v>
      </c>
      <c r="AA36" s="3">
        <v>100</v>
      </c>
      <c r="AB36" s="22">
        <f t="shared" si="3"/>
        <v>0.40394064132328283</v>
      </c>
      <c r="AJ36" s="3"/>
      <c r="AK36" s="3"/>
      <c r="AL36" s="3"/>
      <c r="AM36" s="3"/>
      <c r="AN36" s="3"/>
      <c r="AO36" s="3"/>
      <c r="AP36" s="3"/>
      <c r="AQ36" s="3"/>
    </row>
    <row r="37" spans="2:43" ht="12.75">
      <c r="B37" s="19" t="s">
        <v>166</v>
      </c>
      <c r="D37" s="19" t="s">
        <v>56</v>
      </c>
      <c r="F37" s="22">
        <f t="shared" si="0"/>
        <v>36.39799659340648</v>
      </c>
      <c r="H37" s="22">
        <f t="shared" si="0"/>
        <v>37.291099409051164</v>
      </c>
      <c r="J37" s="22">
        <f t="shared" si="1"/>
        <v>51.45697822212305</v>
      </c>
      <c r="L37" s="22">
        <f t="shared" si="2"/>
        <v>41.715358074860234</v>
      </c>
      <c r="M37" s="24"/>
      <c r="N37" s="22">
        <f>N17/N$23/60/0.0283*1000000*(21-7)/(21-N$24)</f>
        <v>1354.3539516778853</v>
      </c>
      <c r="O37" s="24"/>
      <c r="P37" s="22">
        <f>P17/P$23/60/0.0283*1000000*(21-7)/(21-P$24)</f>
        <v>1264.3996687610377</v>
      </c>
      <c r="Q37" s="24"/>
      <c r="R37" s="22">
        <f>R17/R$23/60/0.0283*1000000*(21-7)/(21-R$24)</f>
        <v>1251.7518575327033</v>
      </c>
      <c r="S37" s="24"/>
      <c r="T37" s="22">
        <f>T17/T$23/60/0.0283*1000000*(21-7)/(21-T$24)</f>
        <v>1288.952778497807</v>
      </c>
      <c r="V37" s="22">
        <f t="shared" si="3"/>
        <v>1390.751948271292</v>
      </c>
      <c r="X37" s="22">
        <f t="shared" si="3"/>
        <v>1301.6907681700889</v>
      </c>
      <c r="Z37" s="22">
        <f t="shared" si="3"/>
        <v>1303.2088357548264</v>
      </c>
      <c r="AB37" s="22">
        <f t="shared" si="3"/>
        <v>1330.6681365726672</v>
      </c>
      <c r="AJ37" s="3"/>
      <c r="AK37" s="3"/>
      <c r="AL37" s="3"/>
      <c r="AM37" s="3"/>
      <c r="AN37" s="3"/>
      <c r="AO37" s="3"/>
      <c r="AP37" s="3"/>
      <c r="AQ37" s="3"/>
    </row>
    <row r="38" spans="2:43" ht="12.75">
      <c r="B38" s="19" t="s">
        <v>174</v>
      </c>
      <c r="D38" s="19" t="s">
        <v>56</v>
      </c>
      <c r="E38" s="3">
        <v>100</v>
      </c>
      <c r="F38" s="22">
        <f t="shared" si="0"/>
        <v>68.01464044856235</v>
      </c>
      <c r="G38" s="3">
        <v>100</v>
      </c>
      <c r="H38" s="22">
        <f t="shared" si="0"/>
        <v>70.43153067785671</v>
      </c>
      <c r="I38" s="3">
        <v>100</v>
      </c>
      <c r="J38" s="22">
        <f t="shared" si="1"/>
        <v>65.8975936209263</v>
      </c>
      <c r="K38" s="3">
        <v>100</v>
      </c>
      <c r="L38" s="22">
        <f t="shared" si="2"/>
        <v>68.11458824911513</v>
      </c>
      <c r="M38" s="24"/>
      <c r="N38" s="24"/>
      <c r="O38" s="24"/>
      <c r="P38" s="24"/>
      <c r="Q38" s="24"/>
      <c r="R38" s="24"/>
      <c r="S38" s="24"/>
      <c r="T38" s="22"/>
      <c r="U38" s="3">
        <v>100</v>
      </c>
      <c r="V38" s="22">
        <f t="shared" si="3"/>
        <v>68.01464044856235</v>
      </c>
      <c r="W38" s="3">
        <v>100</v>
      </c>
      <c r="X38" s="22">
        <f t="shared" si="3"/>
        <v>70.43153067785671</v>
      </c>
      <c r="Y38" s="3">
        <v>100</v>
      </c>
      <c r="Z38" s="22">
        <f t="shared" si="3"/>
        <v>65.8975936209263</v>
      </c>
      <c r="AA38" s="3">
        <v>100</v>
      </c>
      <c r="AB38" s="22">
        <f t="shared" si="3"/>
        <v>68.11458824911513</v>
      </c>
      <c r="AJ38" s="3"/>
      <c r="AK38" s="3"/>
      <c r="AL38" s="3"/>
      <c r="AM38" s="3"/>
      <c r="AN38" s="3"/>
      <c r="AO38" s="3"/>
      <c r="AP38" s="3"/>
      <c r="AQ38" s="3"/>
    </row>
    <row r="39" spans="2:43" ht="12.75">
      <c r="B39" s="19" t="s">
        <v>181</v>
      </c>
      <c r="D39" s="19" t="s">
        <v>56</v>
      </c>
      <c r="E39" s="3">
        <v>100</v>
      </c>
      <c r="F39" s="22">
        <f t="shared" si="0"/>
        <v>0.4253726986980866</v>
      </c>
      <c r="G39" s="3">
        <v>100</v>
      </c>
      <c r="H39" s="22">
        <f t="shared" si="0"/>
        <v>0.3933015809064376</v>
      </c>
      <c r="I39" s="3">
        <v>100</v>
      </c>
      <c r="J39" s="22">
        <f t="shared" si="1"/>
        <v>0.39314764436532434</v>
      </c>
      <c r="K39" s="3">
        <v>100</v>
      </c>
      <c r="L39" s="22">
        <f t="shared" si="2"/>
        <v>0.40394064132328283</v>
      </c>
      <c r="M39" s="24"/>
      <c r="N39" s="24"/>
      <c r="O39" s="24"/>
      <c r="P39" s="24"/>
      <c r="Q39" s="24"/>
      <c r="R39" s="24"/>
      <c r="S39" s="24"/>
      <c r="T39" s="22"/>
      <c r="U39" s="3">
        <v>100</v>
      </c>
      <c r="V39" s="22">
        <f t="shared" si="3"/>
        <v>0.4253726986980866</v>
      </c>
      <c r="W39" s="3">
        <v>100</v>
      </c>
      <c r="X39" s="22">
        <f t="shared" si="3"/>
        <v>0.3933015809064376</v>
      </c>
      <c r="Y39" s="3">
        <v>100</v>
      </c>
      <c r="Z39" s="22">
        <f t="shared" si="3"/>
        <v>0.39314764436532434</v>
      </c>
      <c r="AA39" s="3">
        <v>100</v>
      </c>
      <c r="AB39" s="22">
        <f t="shared" si="3"/>
        <v>0.40394064132328283</v>
      </c>
      <c r="AJ39" s="3"/>
      <c r="AK39" s="3"/>
      <c r="AL39" s="3"/>
      <c r="AM39" s="3"/>
      <c r="AN39" s="3"/>
      <c r="AO39" s="3"/>
      <c r="AP39" s="3"/>
      <c r="AQ39" s="3"/>
    </row>
    <row r="40" spans="2:43" ht="12.75">
      <c r="B40" s="19" t="s">
        <v>177</v>
      </c>
      <c r="D40" s="19" t="s">
        <v>56</v>
      </c>
      <c r="E40" s="3">
        <v>100</v>
      </c>
      <c r="F40" s="22">
        <f t="shared" si="0"/>
        <v>10.667038444275102</v>
      </c>
      <c r="G40" s="3">
        <v>100</v>
      </c>
      <c r="H40" s="22">
        <f t="shared" si="0"/>
        <v>9.824902598759845</v>
      </c>
      <c r="I40" s="3">
        <v>100</v>
      </c>
      <c r="J40" s="22">
        <f t="shared" si="1"/>
        <v>9.866493767245164</v>
      </c>
      <c r="K40" s="3">
        <v>100</v>
      </c>
      <c r="L40" s="22">
        <f t="shared" si="2"/>
        <v>10.119478270093369</v>
      </c>
      <c r="M40" s="24"/>
      <c r="N40" s="24"/>
      <c r="O40" s="24"/>
      <c r="P40" s="24"/>
      <c r="Q40" s="24"/>
      <c r="R40" s="24"/>
      <c r="S40" s="24"/>
      <c r="T40" s="22"/>
      <c r="U40" s="3">
        <v>100</v>
      </c>
      <c r="V40" s="22">
        <f t="shared" si="3"/>
        <v>10.667038444275102</v>
      </c>
      <c r="W40" s="3">
        <v>100</v>
      </c>
      <c r="X40" s="22">
        <f t="shared" si="3"/>
        <v>9.824902598759845</v>
      </c>
      <c r="Y40" s="3">
        <v>100</v>
      </c>
      <c r="Z40" s="22">
        <f t="shared" si="3"/>
        <v>9.866493767245164</v>
      </c>
      <c r="AA40" s="3">
        <v>100</v>
      </c>
      <c r="AB40" s="22">
        <f t="shared" si="3"/>
        <v>10.119478270093369</v>
      </c>
      <c r="AJ40" s="3"/>
      <c r="AK40" s="3"/>
      <c r="AL40" s="3"/>
      <c r="AM40" s="3"/>
      <c r="AN40" s="3"/>
      <c r="AO40" s="3"/>
      <c r="AP40" s="3"/>
      <c r="AQ40" s="3"/>
    </row>
    <row r="41" spans="2:43" ht="12.75">
      <c r="B41" s="19" t="s">
        <v>172</v>
      </c>
      <c r="D41" s="19" t="s">
        <v>56</v>
      </c>
      <c r="E41" s="3">
        <v>100</v>
      </c>
      <c r="F41" s="22">
        <f t="shared" si="0"/>
        <v>3.4029815895846927</v>
      </c>
      <c r="G41" s="3">
        <v>100</v>
      </c>
      <c r="H41" s="22">
        <f t="shared" si="0"/>
        <v>6.128631430629439</v>
      </c>
      <c r="I41" s="3">
        <v>100</v>
      </c>
      <c r="J41" s="22">
        <f t="shared" si="1"/>
        <v>3.1451811549225948</v>
      </c>
      <c r="K41" s="3">
        <v>100</v>
      </c>
      <c r="L41" s="22">
        <f t="shared" si="2"/>
        <v>4.225598058378909</v>
      </c>
      <c r="M41" s="24"/>
      <c r="N41" s="24"/>
      <c r="O41" s="24"/>
      <c r="P41" s="24"/>
      <c r="Q41" s="24"/>
      <c r="R41" s="24"/>
      <c r="S41" s="24"/>
      <c r="T41" s="22"/>
      <c r="U41" s="3">
        <v>100</v>
      </c>
      <c r="V41" s="22">
        <f t="shared" si="3"/>
        <v>3.4029815895846927</v>
      </c>
      <c r="W41" s="3">
        <v>100</v>
      </c>
      <c r="X41" s="22">
        <f t="shared" si="3"/>
        <v>6.128631430629439</v>
      </c>
      <c r="Y41" s="3">
        <v>100</v>
      </c>
      <c r="Z41" s="22">
        <f t="shared" si="3"/>
        <v>3.1451811549225948</v>
      </c>
      <c r="AA41" s="3">
        <v>100</v>
      </c>
      <c r="AB41" s="22">
        <f t="shared" si="3"/>
        <v>4.225598058378909</v>
      </c>
      <c r="AJ41" s="3"/>
      <c r="AK41" s="3"/>
      <c r="AL41" s="3"/>
      <c r="AM41" s="3"/>
      <c r="AN41" s="3"/>
      <c r="AO41" s="3"/>
      <c r="AP41" s="3"/>
      <c r="AQ41" s="3"/>
    </row>
    <row r="42" spans="2:43" ht="12.75">
      <c r="B42" s="19" t="s">
        <v>116</v>
      </c>
      <c r="D42" s="19" t="s">
        <v>56</v>
      </c>
      <c r="E42" s="3">
        <v>100</v>
      </c>
      <c r="F42" s="22">
        <f>SUM(F38,F36)</f>
        <v>68.44001314726043</v>
      </c>
      <c r="G42" s="3">
        <v>100</v>
      </c>
      <c r="H42" s="22">
        <f>SUM(H38,H36)/2</f>
        <v>35.412416129381576</v>
      </c>
      <c r="I42" s="3">
        <v>100</v>
      </c>
      <c r="J42" s="22">
        <f>SUM(J38,J36)/2</f>
        <v>33.145370632645815</v>
      </c>
      <c r="K42" s="3">
        <v>100</v>
      </c>
      <c r="L42" s="22">
        <f>AVERAGE(J42,H42,F42)</f>
        <v>45.66593330309595</v>
      </c>
      <c r="M42" s="24"/>
      <c r="N42" s="24"/>
      <c r="O42" s="24"/>
      <c r="P42" s="24"/>
      <c r="Q42" s="24"/>
      <c r="R42" s="24"/>
      <c r="S42" s="24"/>
      <c r="T42" s="22"/>
      <c r="U42" s="3">
        <v>100</v>
      </c>
      <c r="V42" s="22">
        <f>SUM(N42,F42)</f>
        <v>68.44001314726043</v>
      </c>
      <c r="W42" s="3">
        <v>100</v>
      </c>
      <c r="X42" s="22">
        <f>SUM(P42,H42)</f>
        <v>35.412416129381576</v>
      </c>
      <c r="Y42" s="3">
        <v>100</v>
      </c>
      <c r="Z42" s="22">
        <f>SUM(R42,J42)</f>
        <v>33.145370632645815</v>
      </c>
      <c r="AA42" s="3">
        <v>100</v>
      </c>
      <c r="AB42" s="22">
        <f>SUM(T42,L42)</f>
        <v>45.66593330309595</v>
      </c>
      <c r="AJ42" s="3"/>
      <c r="AK42" s="3"/>
      <c r="AL42" s="3"/>
      <c r="AM42" s="3"/>
      <c r="AN42" s="3"/>
      <c r="AO42" s="3"/>
      <c r="AP42" s="3"/>
      <c r="AQ42" s="3"/>
    </row>
    <row r="43" spans="2:43" ht="12.75">
      <c r="B43" s="19" t="s">
        <v>117</v>
      </c>
      <c r="D43" s="19" t="s">
        <v>56</v>
      </c>
      <c r="E43" s="3">
        <f>SUM(F33,F35)/F43*100</f>
        <v>9.517031011692929</v>
      </c>
      <c r="F43" s="22">
        <f>F35+F33+F37</f>
        <v>40.226350881689264</v>
      </c>
      <c r="G43" s="3">
        <f>SUM(H33,H35)/H43*100</f>
        <v>8.669222856074066</v>
      </c>
      <c r="H43" s="22">
        <f>H35+H33+H37</f>
        <v>40.830813637209104</v>
      </c>
      <c r="I43" s="3">
        <f>SUM(J33,J35)/J43*100</f>
        <v>10.799475753604193</v>
      </c>
      <c r="J43" s="22">
        <f>J35+J33+J37</f>
        <v>57.686856278988955</v>
      </c>
      <c r="K43" s="3">
        <f>SUM(L33,L35)/L43*100</f>
        <v>9.800744201521429</v>
      </c>
      <c r="L43" s="22">
        <f>AVERAGE(J43,H43,F43)</f>
        <v>46.2480069326291</v>
      </c>
      <c r="M43" s="24"/>
      <c r="N43" s="24">
        <f>N37</f>
        <v>1354.3539516778853</v>
      </c>
      <c r="O43" s="24"/>
      <c r="P43" s="24">
        <f>P37</f>
        <v>1264.3996687610377</v>
      </c>
      <c r="Q43" s="24"/>
      <c r="R43" s="24">
        <f>R37</f>
        <v>1251.7518575327033</v>
      </c>
      <c r="S43" s="24"/>
      <c r="T43" s="24">
        <f>T37</f>
        <v>1288.952778497807</v>
      </c>
      <c r="V43" s="22">
        <f>SUM(N43,F43)</f>
        <v>1394.5803025595746</v>
      </c>
      <c r="X43" s="22">
        <f>SUM(P43,H43)</f>
        <v>1305.2304823982467</v>
      </c>
      <c r="Z43" s="22">
        <f>SUM(R43,J43)</f>
        <v>1309.4387138116922</v>
      </c>
      <c r="AB43" s="22">
        <f>SUM(T43,L43)</f>
        <v>1335.200785430436</v>
      </c>
      <c r="AJ43" s="3"/>
      <c r="AK43" s="3"/>
      <c r="AL43" s="3"/>
      <c r="AM43" s="3"/>
      <c r="AN43" s="3"/>
      <c r="AO43" s="3"/>
      <c r="AP43" s="3"/>
      <c r="AQ43" s="3"/>
    </row>
    <row r="45" spans="1:28" ht="12.75">
      <c r="A45" s="21" t="s">
        <v>179</v>
      </c>
      <c r="B45" s="18" t="s">
        <v>38</v>
      </c>
      <c r="C45" s="18"/>
      <c r="F45" s="3" t="s">
        <v>189</v>
      </c>
      <c r="H45" s="3" t="s">
        <v>211</v>
      </c>
      <c r="J45" s="3" t="s">
        <v>212</v>
      </c>
      <c r="L45" s="20" t="s">
        <v>32</v>
      </c>
      <c r="N45" s="3" t="s">
        <v>189</v>
      </c>
      <c r="O45" s="3"/>
      <c r="P45" s="3" t="s">
        <v>211</v>
      </c>
      <c r="Q45" s="3"/>
      <c r="R45" s="3" t="s">
        <v>212</v>
      </c>
      <c r="S45" s="3"/>
      <c r="T45" s="20" t="s">
        <v>32</v>
      </c>
      <c r="V45" s="3" t="s">
        <v>189</v>
      </c>
      <c r="X45" s="3" t="s">
        <v>211</v>
      </c>
      <c r="Z45" s="3" t="s">
        <v>212</v>
      </c>
      <c r="AB45" s="20" t="s">
        <v>32</v>
      </c>
    </row>
    <row r="46" spans="2:3" ht="12.75">
      <c r="B46" s="18"/>
      <c r="C46" s="18"/>
    </row>
    <row r="47" spans="2:28" ht="12.75">
      <c r="B47" s="19" t="s">
        <v>207</v>
      </c>
      <c r="C47" s="18"/>
      <c r="F47" s="3" t="s">
        <v>209</v>
      </c>
      <c r="H47" s="3" t="s">
        <v>209</v>
      </c>
      <c r="J47" s="3" t="s">
        <v>209</v>
      </c>
      <c r="L47" s="3" t="s">
        <v>209</v>
      </c>
      <c r="N47" s="3" t="s">
        <v>211</v>
      </c>
      <c r="O47" s="3"/>
      <c r="P47" s="3" t="s">
        <v>211</v>
      </c>
      <c r="Q47" s="3"/>
      <c r="R47" s="3" t="s">
        <v>211</v>
      </c>
      <c r="S47" s="3"/>
      <c r="T47" s="20" t="s">
        <v>211</v>
      </c>
      <c r="V47" s="3" t="s">
        <v>212</v>
      </c>
      <c r="X47" s="3" t="s">
        <v>212</v>
      </c>
      <c r="Z47" s="3" t="s">
        <v>212</v>
      </c>
      <c r="AB47" s="20" t="s">
        <v>212</v>
      </c>
    </row>
    <row r="48" spans="2:28" ht="12.75">
      <c r="B48" s="19" t="s">
        <v>208</v>
      </c>
      <c r="F48" s="3" t="s">
        <v>210</v>
      </c>
      <c r="H48" s="3" t="s">
        <v>210</v>
      </c>
      <c r="J48" s="3" t="s">
        <v>210</v>
      </c>
      <c r="L48" s="3" t="s">
        <v>210</v>
      </c>
      <c r="N48" s="20" t="s">
        <v>33</v>
      </c>
      <c r="P48" s="20" t="s">
        <v>33</v>
      </c>
      <c r="R48" s="20" t="s">
        <v>33</v>
      </c>
      <c r="T48" s="20" t="s">
        <v>33</v>
      </c>
      <c r="V48" s="20" t="s">
        <v>61</v>
      </c>
      <c r="X48" s="20" t="s">
        <v>61</v>
      </c>
      <c r="Z48" s="20" t="s">
        <v>61</v>
      </c>
      <c r="AB48" s="20" t="s">
        <v>61</v>
      </c>
    </row>
    <row r="49" spans="2:28" ht="12.75">
      <c r="B49" s="19" t="s">
        <v>215</v>
      </c>
      <c r="F49" s="3" t="s">
        <v>115</v>
      </c>
      <c r="H49" s="3" t="s">
        <v>115</v>
      </c>
      <c r="J49" s="3" t="s">
        <v>115</v>
      </c>
      <c r="L49" s="3" t="s">
        <v>115</v>
      </c>
      <c r="N49" s="20" t="s">
        <v>33</v>
      </c>
      <c r="P49" s="20" t="s">
        <v>33</v>
      </c>
      <c r="R49" s="20" t="s">
        <v>33</v>
      </c>
      <c r="T49" s="20" t="s">
        <v>33</v>
      </c>
      <c r="V49" s="20" t="s">
        <v>61</v>
      </c>
      <c r="X49" s="20" t="s">
        <v>61</v>
      </c>
      <c r="Z49" s="20" t="s">
        <v>61</v>
      </c>
      <c r="AB49" s="20" t="s">
        <v>61</v>
      </c>
    </row>
    <row r="50" spans="2:28" ht="12.75">
      <c r="B50" s="19" t="s">
        <v>178</v>
      </c>
      <c r="F50" s="20" t="s">
        <v>40</v>
      </c>
      <c r="H50" s="20" t="s">
        <v>40</v>
      </c>
      <c r="J50" s="20" t="s">
        <v>40</v>
      </c>
      <c r="L50" s="20" t="s">
        <v>40</v>
      </c>
      <c r="N50" s="20" t="s">
        <v>33</v>
      </c>
      <c r="P50" s="20" t="s">
        <v>33</v>
      </c>
      <c r="R50" s="20" t="s">
        <v>33</v>
      </c>
      <c r="T50" s="20" t="s">
        <v>33</v>
      </c>
      <c r="V50" s="20" t="s">
        <v>61</v>
      </c>
      <c r="X50" s="20" t="s">
        <v>61</v>
      </c>
      <c r="Z50" s="20" t="s">
        <v>61</v>
      </c>
      <c r="AB50" s="20" t="s">
        <v>61</v>
      </c>
    </row>
    <row r="51" spans="2:20" ht="12.75">
      <c r="B51" s="19" t="s">
        <v>34</v>
      </c>
      <c r="D51" s="19" t="s">
        <v>35</v>
      </c>
      <c r="E51" s="3" t="s">
        <v>36</v>
      </c>
      <c r="F51" s="20">
        <v>1292.023</v>
      </c>
      <c r="G51" s="3" t="s">
        <v>36</v>
      </c>
      <c r="H51" s="20">
        <v>1806.844</v>
      </c>
      <c r="I51" s="3" t="s">
        <v>36</v>
      </c>
      <c r="J51" s="20">
        <v>1671.498</v>
      </c>
      <c r="L51" s="20">
        <v>1590.122</v>
      </c>
      <c r="M51" s="3"/>
      <c r="N51" s="3">
        <v>3365.712</v>
      </c>
      <c r="O51" s="3"/>
      <c r="P51" s="3">
        <v>3365.712</v>
      </c>
      <c r="Q51" s="3"/>
      <c r="R51" s="3">
        <v>3370.248</v>
      </c>
      <c r="S51" s="3"/>
      <c r="T51" s="22">
        <v>3367.224</v>
      </c>
    </row>
    <row r="52" spans="2:20" ht="12.75">
      <c r="B52" s="19" t="s">
        <v>94</v>
      </c>
      <c r="D52" s="19" t="s">
        <v>35</v>
      </c>
      <c r="E52" s="3" t="s">
        <v>36</v>
      </c>
      <c r="F52" s="20">
        <v>3245.56</v>
      </c>
      <c r="G52" s="3" t="s">
        <v>36</v>
      </c>
      <c r="H52" s="20">
        <v>2855.665</v>
      </c>
      <c r="I52" s="3" t="s">
        <v>36</v>
      </c>
      <c r="J52" s="20">
        <v>2202.663</v>
      </c>
      <c r="L52" s="20">
        <v>2767.963</v>
      </c>
      <c r="M52" s="3"/>
      <c r="N52" s="3"/>
      <c r="O52" s="3"/>
      <c r="P52" s="3"/>
      <c r="Q52" s="3"/>
      <c r="R52" s="3"/>
      <c r="S52" s="3"/>
      <c r="T52" s="20"/>
    </row>
    <row r="53" spans="2:20" ht="12.75">
      <c r="B53" s="19" t="s">
        <v>173</v>
      </c>
      <c r="D53" s="19" t="s">
        <v>35</v>
      </c>
      <c r="E53" s="3" t="s">
        <v>36</v>
      </c>
      <c r="F53" s="20">
        <v>4.091</v>
      </c>
      <c r="G53" s="3" t="s">
        <v>36</v>
      </c>
      <c r="H53" s="20">
        <v>3.635</v>
      </c>
      <c r="I53" s="3" t="s">
        <v>36</v>
      </c>
      <c r="J53" s="20">
        <v>3.542</v>
      </c>
      <c r="L53" s="20">
        <v>3.756</v>
      </c>
      <c r="M53" s="3"/>
      <c r="N53" s="3"/>
      <c r="O53" s="3"/>
      <c r="P53" s="3"/>
      <c r="Q53" s="3"/>
      <c r="R53" s="3"/>
      <c r="S53" s="3"/>
      <c r="T53" s="20"/>
    </row>
    <row r="54" spans="2:43" ht="12.75">
      <c r="B54" s="19" t="s">
        <v>168</v>
      </c>
      <c r="D54" s="19" t="s">
        <v>35</v>
      </c>
      <c r="E54" s="3" t="s">
        <v>36</v>
      </c>
      <c r="F54" s="20">
        <v>0.207</v>
      </c>
      <c r="G54" s="3" t="s">
        <v>36</v>
      </c>
      <c r="H54" s="20">
        <v>0.184</v>
      </c>
      <c r="I54" s="3" t="s">
        <v>36</v>
      </c>
      <c r="J54" s="20">
        <v>0.187</v>
      </c>
      <c r="L54" s="20">
        <v>0.193</v>
      </c>
      <c r="M54" s="3"/>
      <c r="N54" s="3"/>
      <c r="O54" s="3"/>
      <c r="P54" s="3"/>
      <c r="Q54" s="3"/>
      <c r="R54" s="3"/>
      <c r="S54" s="3"/>
      <c r="T54" s="20"/>
      <c r="AB54" s="3"/>
      <c r="AJ54" s="3"/>
      <c r="AK54" s="3"/>
      <c r="AL54" s="3"/>
      <c r="AM54" s="3"/>
      <c r="AN54" s="3"/>
      <c r="AO54" s="3"/>
      <c r="AP54" s="3"/>
      <c r="AQ54" s="3"/>
    </row>
    <row r="55" spans="2:43" ht="12.75">
      <c r="B55" s="19" t="s">
        <v>169</v>
      </c>
      <c r="D55" s="19" t="s">
        <v>35</v>
      </c>
      <c r="E55" s="3" t="s">
        <v>36</v>
      </c>
      <c r="F55" s="20">
        <v>0.261</v>
      </c>
      <c r="H55" s="20">
        <v>0.257</v>
      </c>
      <c r="I55" s="3" t="s">
        <v>36</v>
      </c>
      <c r="J55" s="20">
        <v>0.21</v>
      </c>
      <c r="L55" s="20">
        <v>0.243</v>
      </c>
      <c r="M55" s="3"/>
      <c r="N55" s="3"/>
      <c r="O55" s="3"/>
      <c r="P55" s="3"/>
      <c r="Q55" s="3"/>
      <c r="R55" s="3"/>
      <c r="S55" s="3"/>
      <c r="T55" s="20"/>
      <c r="AB55" s="20"/>
      <c r="AJ55" s="20"/>
      <c r="AK55" s="20"/>
      <c r="AL55" s="20"/>
      <c r="AM55" s="20"/>
      <c r="AN55" s="20"/>
      <c r="AO55" s="20"/>
      <c r="AP55" s="20"/>
      <c r="AQ55" s="20"/>
    </row>
    <row r="56" spans="2:43" ht="12.75">
      <c r="B56" s="19" t="s">
        <v>170</v>
      </c>
      <c r="D56" s="19" t="s">
        <v>35</v>
      </c>
      <c r="E56" s="3" t="s">
        <v>36</v>
      </c>
      <c r="F56" s="20">
        <v>0.025</v>
      </c>
      <c r="G56" s="3" t="s">
        <v>36</v>
      </c>
      <c r="H56" s="20">
        <v>0.023</v>
      </c>
      <c r="I56" s="3" t="s">
        <v>36</v>
      </c>
      <c r="J56" s="20">
        <v>0.023</v>
      </c>
      <c r="L56" s="20">
        <v>0.024</v>
      </c>
      <c r="M56" s="3"/>
      <c r="N56" s="3"/>
      <c r="O56" s="3"/>
      <c r="P56" s="3"/>
      <c r="Q56" s="3"/>
      <c r="R56" s="3"/>
      <c r="S56" s="3"/>
      <c r="T56" s="20"/>
      <c r="AB56" s="3"/>
      <c r="AJ56" s="3"/>
      <c r="AK56" s="3"/>
      <c r="AL56" s="3"/>
      <c r="AM56" s="3"/>
      <c r="AN56" s="3"/>
      <c r="AO56" s="3"/>
      <c r="AP56" s="3"/>
      <c r="AQ56" s="3"/>
    </row>
    <row r="57" spans="2:43" ht="12.75">
      <c r="B57" s="19" t="s">
        <v>176</v>
      </c>
      <c r="D57" s="19" t="s">
        <v>35</v>
      </c>
      <c r="F57" s="20">
        <v>0.025</v>
      </c>
      <c r="G57" s="3" t="s">
        <v>36</v>
      </c>
      <c r="H57" s="20">
        <v>0.028</v>
      </c>
      <c r="I57" s="3" t="s">
        <v>36</v>
      </c>
      <c r="J57" s="20">
        <v>0.023</v>
      </c>
      <c r="L57" s="20">
        <v>0.025</v>
      </c>
      <c r="M57" s="3"/>
      <c r="N57" s="3"/>
      <c r="O57" s="3"/>
      <c r="P57" s="3"/>
      <c r="Q57" s="3"/>
      <c r="R57" s="3"/>
      <c r="S57" s="3"/>
      <c r="T57" s="20"/>
      <c r="AB57" s="3"/>
      <c r="AJ57" s="3"/>
      <c r="AK57" s="3"/>
      <c r="AL57" s="3"/>
      <c r="AM57" s="3"/>
      <c r="AN57" s="3"/>
      <c r="AO57" s="3"/>
      <c r="AP57" s="3"/>
      <c r="AQ57" s="3"/>
    </row>
    <row r="58" spans="2:20" ht="12.75">
      <c r="B58" s="19" t="s">
        <v>166</v>
      </c>
      <c r="D58" s="19" t="s">
        <v>35</v>
      </c>
      <c r="F58" s="20">
        <v>2.697</v>
      </c>
      <c r="H58" s="20">
        <v>1.846</v>
      </c>
      <c r="J58" s="20">
        <v>2.017</v>
      </c>
      <c r="L58" s="20">
        <v>2.187</v>
      </c>
      <c r="M58" s="3"/>
      <c r="N58" s="20">
        <v>331.128</v>
      </c>
      <c r="O58" s="20"/>
      <c r="P58" s="20">
        <v>331.128</v>
      </c>
      <c r="Q58" s="20"/>
      <c r="R58" s="20">
        <v>331.128</v>
      </c>
      <c r="S58" s="20"/>
      <c r="T58" s="22">
        <v>331.128</v>
      </c>
    </row>
    <row r="59" spans="2:43" ht="12.75">
      <c r="B59" s="19" t="s">
        <v>174</v>
      </c>
      <c r="D59" s="19" t="s">
        <v>35</v>
      </c>
      <c r="E59" s="3" t="s">
        <v>36</v>
      </c>
      <c r="F59" s="20">
        <v>4.178</v>
      </c>
      <c r="G59" s="3" t="s">
        <v>36</v>
      </c>
      <c r="H59" s="20">
        <v>3.931</v>
      </c>
      <c r="I59" s="3" t="s">
        <v>36</v>
      </c>
      <c r="J59" s="20">
        <v>3.723</v>
      </c>
      <c r="L59" s="20">
        <v>3.944</v>
      </c>
      <c r="M59" s="3"/>
      <c r="N59" s="3"/>
      <c r="O59" s="3"/>
      <c r="P59" s="3"/>
      <c r="Q59" s="3"/>
      <c r="R59" s="3"/>
      <c r="S59" s="3"/>
      <c r="T59" s="20"/>
      <c r="AB59" s="3"/>
      <c r="AJ59" s="3"/>
      <c r="AK59" s="3"/>
      <c r="AL59" s="3"/>
      <c r="AM59" s="3"/>
      <c r="AN59" s="3"/>
      <c r="AO59" s="3"/>
      <c r="AP59" s="3"/>
      <c r="AQ59" s="3"/>
    </row>
    <row r="60" spans="2:43" ht="12.75">
      <c r="B60" s="19" t="s">
        <v>181</v>
      </c>
      <c r="D60" s="19" t="s">
        <v>35</v>
      </c>
      <c r="E60" s="3" t="s">
        <v>36</v>
      </c>
      <c r="F60" s="20">
        <v>0.025</v>
      </c>
      <c r="G60" s="3" t="s">
        <v>36</v>
      </c>
      <c r="H60" s="20">
        <v>0.023</v>
      </c>
      <c r="I60" s="3" t="s">
        <v>36</v>
      </c>
      <c r="J60" s="20">
        <v>0.023</v>
      </c>
      <c r="L60" s="20">
        <v>0.024</v>
      </c>
      <c r="M60" s="3"/>
      <c r="N60" s="3"/>
      <c r="O60" s="3"/>
      <c r="P60" s="3"/>
      <c r="Q60" s="3"/>
      <c r="R60" s="3"/>
      <c r="S60" s="3"/>
      <c r="T60" s="20"/>
      <c r="AB60" s="3"/>
      <c r="AJ60" s="3"/>
      <c r="AK60" s="3"/>
      <c r="AL60" s="3"/>
      <c r="AM60" s="3"/>
      <c r="AN60" s="3"/>
      <c r="AO60" s="3"/>
      <c r="AP60" s="3"/>
      <c r="AQ60" s="3"/>
    </row>
    <row r="61" spans="2:43" ht="12.75">
      <c r="B61" s="19" t="s">
        <v>177</v>
      </c>
      <c r="D61" s="19" t="s">
        <v>35</v>
      </c>
      <c r="E61" s="3" t="s">
        <v>36</v>
      </c>
      <c r="F61" s="20">
        <v>0.651</v>
      </c>
      <c r="G61" s="3" t="s">
        <v>36</v>
      </c>
      <c r="H61" s="20">
        <v>1.07</v>
      </c>
      <c r="I61" s="3" t="s">
        <v>36</v>
      </c>
      <c r="J61" s="20">
        <v>0.679</v>
      </c>
      <c r="L61" s="20">
        <v>0.8</v>
      </c>
      <c r="M61" s="3"/>
      <c r="N61" s="3"/>
      <c r="O61" s="3"/>
      <c r="P61" s="3"/>
      <c r="Q61" s="3"/>
      <c r="R61" s="3"/>
      <c r="S61" s="3"/>
      <c r="T61" s="20"/>
      <c r="AB61" s="3"/>
      <c r="AJ61" s="3"/>
      <c r="AK61" s="3"/>
      <c r="AL61" s="3"/>
      <c r="AM61" s="3"/>
      <c r="AN61" s="3"/>
      <c r="AO61" s="3"/>
      <c r="AP61" s="3"/>
      <c r="AQ61" s="3"/>
    </row>
    <row r="62" spans="2:43" ht="12.75">
      <c r="B62" s="19" t="s">
        <v>172</v>
      </c>
      <c r="D62" s="19" t="s">
        <v>35</v>
      </c>
      <c r="E62" s="3" t="s">
        <v>36</v>
      </c>
      <c r="F62" s="20">
        <v>0.26</v>
      </c>
      <c r="G62" s="3" t="s">
        <v>36</v>
      </c>
      <c r="H62" s="20">
        <v>0.475</v>
      </c>
      <c r="I62" s="3" t="s">
        <v>36</v>
      </c>
      <c r="J62" s="20">
        <v>0.51</v>
      </c>
      <c r="L62" s="20">
        <v>0.415</v>
      </c>
      <c r="M62" s="3"/>
      <c r="N62" s="3"/>
      <c r="O62" s="3"/>
      <c r="P62" s="3"/>
      <c r="Q62" s="3"/>
      <c r="R62" s="3"/>
      <c r="S62" s="3"/>
      <c r="T62" s="20"/>
      <c r="AB62" s="3"/>
      <c r="AJ62" s="3"/>
      <c r="AK62" s="3"/>
      <c r="AL62" s="3"/>
      <c r="AM62" s="3"/>
      <c r="AN62" s="3"/>
      <c r="AO62" s="3"/>
      <c r="AP62" s="3"/>
      <c r="AQ62" s="3"/>
    </row>
    <row r="63" spans="10:43" ht="12.75">
      <c r="J63" s="20"/>
      <c r="M63" s="3"/>
      <c r="N63" s="3"/>
      <c r="O63" s="3"/>
      <c r="P63" s="3"/>
      <c r="Q63" s="3"/>
      <c r="R63" s="3"/>
      <c r="S63" s="3"/>
      <c r="T63" s="20"/>
      <c r="AB63" s="3"/>
      <c r="AJ63" s="3"/>
      <c r="AK63" s="3"/>
      <c r="AL63" s="3"/>
      <c r="AM63" s="3"/>
      <c r="AN63" s="3"/>
      <c r="AO63" s="3"/>
      <c r="AP63" s="3"/>
      <c r="AQ63" s="3"/>
    </row>
    <row r="64" spans="2:43" ht="12.75">
      <c r="B64" s="19" t="s">
        <v>107</v>
      </c>
      <c r="D64" s="19" t="s">
        <v>29</v>
      </c>
      <c r="F64" s="20">
        <f>emiss!$G$36</f>
        <v>62068</v>
      </c>
      <c r="G64" s="20"/>
      <c r="H64" s="20">
        <f>emiss!$I$36</f>
        <v>64650</v>
      </c>
      <c r="I64" s="20"/>
      <c r="J64" s="20">
        <f>emiss!$K$36</f>
        <v>63185</v>
      </c>
      <c r="K64" s="20"/>
      <c r="L64" s="22">
        <f>emiss!$M$36</f>
        <v>63301</v>
      </c>
      <c r="M64" s="24"/>
      <c r="N64" s="20">
        <f>emiss!$G$36</f>
        <v>62068</v>
      </c>
      <c r="O64" s="20"/>
      <c r="P64" s="20">
        <f>emiss!$I$36</f>
        <v>64650</v>
      </c>
      <c r="Q64" s="20"/>
      <c r="R64" s="20">
        <f>emiss!$K$36</f>
        <v>63185</v>
      </c>
      <c r="S64" s="20"/>
      <c r="T64" s="22">
        <f>emiss!$M$36</f>
        <v>63301</v>
      </c>
      <c r="V64" s="20">
        <f>emiss!$G$36</f>
        <v>62068</v>
      </c>
      <c r="W64" s="20"/>
      <c r="X64" s="20">
        <f>emiss!$I$36</f>
        <v>64650</v>
      </c>
      <c r="Y64" s="20"/>
      <c r="Z64" s="20">
        <f>emiss!$K$36</f>
        <v>63185</v>
      </c>
      <c r="AA64" s="20"/>
      <c r="AB64" s="22">
        <f>emiss!$M$36</f>
        <v>63301</v>
      </c>
      <c r="AJ64" s="3"/>
      <c r="AK64" s="3"/>
      <c r="AL64" s="3"/>
      <c r="AM64" s="3"/>
      <c r="AN64" s="3"/>
      <c r="AO64" s="3"/>
      <c r="AP64" s="3"/>
      <c r="AQ64" s="3"/>
    </row>
    <row r="65" spans="2:43" ht="12.75">
      <c r="B65" s="19" t="s">
        <v>52</v>
      </c>
      <c r="D65" s="19" t="s">
        <v>30</v>
      </c>
      <c r="F65" s="20">
        <f>emiss!$G$37</f>
        <v>11.6</v>
      </c>
      <c r="G65" s="20"/>
      <c r="H65" s="20">
        <f>emiss!$I$37</f>
        <v>11.4</v>
      </c>
      <c r="I65" s="20"/>
      <c r="J65" s="20">
        <f>emiss!$K$37</f>
        <v>11.6</v>
      </c>
      <c r="K65" s="20"/>
      <c r="L65" s="22">
        <f>emiss!$M$37</f>
        <v>11.533333333333333</v>
      </c>
      <c r="M65" s="24"/>
      <c r="N65" s="20">
        <f>emiss!$G$37</f>
        <v>11.6</v>
      </c>
      <c r="O65" s="20"/>
      <c r="P65" s="20">
        <f>emiss!$I$37</f>
        <v>11.4</v>
      </c>
      <c r="Q65" s="20"/>
      <c r="R65" s="20">
        <f>emiss!$K$37</f>
        <v>11.6</v>
      </c>
      <c r="S65" s="20"/>
      <c r="T65" s="22">
        <f>emiss!$M$37</f>
        <v>11.533333333333333</v>
      </c>
      <c r="V65" s="20">
        <f>emiss!$G$37</f>
        <v>11.6</v>
      </c>
      <c r="W65" s="20"/>
      <c r="X65" s="20">
        <f>emiss!$I$37</f>
        <v>11.4</v>
      </c>
      <c r="Y65" s="20"/>
      <c r="Z65" s="20">
        <f>emiss!$K$37</f>
        <v>11.6</v>
      </c>
      <c r="AA65" s="20"/>
      <c r="AB65" s="22">
        <f>emiss!$M$37</f>
        <v>11.533333333333333</v>
      </c>
      <c r="AJ65" s="3"/>
      <c r="AK65" s="3"/>
      <c r="AL65" s="3"/>
      <c r="AM65" s="3"/>
      <c r="AN65" s="3"/>
      <c r="AO65" s="3"/>
      <c r="AP65" s="3"/>
      <c r="AQ65" s="3"/>
    </row>
    <row r="66" spans="12:43" ht="12.75">
      <c r="L66" s="22"/>
      <c r="M66" s="24"/>
      <c r="N66" s="24"/>
      <c r="O66" s="24"/>
      <c r="P66" s="24"/>
      <c r="Q66" s="24"/>
      <c r="R66" s="24"/>
      <c r="S66" s="24"/>
      <c r="T66" s="22"/>
      <c r="AB66" s="3"/>
      <c r="AJ66" s="3"/>
      <c r="AK66" s="3"/>
      <c r="AL66" s="3"/>
      <c r="AM66" s="3"/>
      <c r="AN66" s="3"/>
      <c r="AO66" s="3"/>
      <c r="AP66" s="3"/>
      <c r="AQ66" s="3"/>
    </row>
    <row r="67" spans="2:43" ht="12.75">
      <c r="B67" s="19" t="s">
        <v>110</v>
      </c>
      <c r="D67" s="19" t="s">
        <v>111</v>
      </c>
      <c r="L67" s="22"/>
      <c r="M67" s="24"/>
      <c r="N67" s="24"/>
      <c r="O67" s="24"/>
      <c r="P67" s="24"/>
      <c r="Q67" s="24"/>
      <c r="R67" s="24"/>
      <c r="S67" s="24"/>
      <c r="T67" s="22"/>
      <c r="V67" s="22">
        <f>V64/9000*(21-V65)/21*60</f>
        <v>185.21879365079366</v>
      </c>
      <c r="X67" s="22">
        <f>X64/9000*(21-X65)/21*60</f>
        <v>197.0285714285714</v>
      </c>
      <c r="Z67" s="22">
        <f>Z64/9000*(21-Z65)/21*60</f>
        <v>188.55206349206347</v>
      </c>
      <c r="AB67" s="22">
        <f>AB64/9000*(21-AB65)/21*60</f>
        <v>190.2379259259259</v>
      </c>
      <c r="AJ67" s="3"/>
      <c r="AK67" s="3"/>
      <c r="AL67" s="3"/>
      <c r="AM67" s="3"/>
      <c r="AN67" s="3"/>
      <c r="AO67" s="3"/>
      <c r="AP67" s="3"/>
      <c r="AQ67" s="3"/>
    </row>
    <row r="68" spans="2:43" ht="12.75">
      <c r="B68" s="39" t="s">
        <v>134</v>
      </c>
      <c r="C68" s="39"/>
      <c r="L68" s="22"/>
      <c r="M68" s="24"/>
      <c r="N68" s="24"/>
      <c r="O68" s="24"/>
      <c r="P68" s="24"/>
      <c r="Q68" s="24"/>
      <c r="R68" s="24"/>
      <c r="S68" s="24"/>
      <c r="T68" s="22"/>
      <c r="AB68" s="22"/>
      <c r="AJ68" s="3"/>
      <c r="AK68" s="3"/>
      <c r="AL68" s="3"/>
      <c r="AM68" s="3"/>
      <c r="AN68" s="3"/>
      <c r="AO68" s="3"/>
      <c r="AP68" s="3"/>
      <c r="AQ68" s="3"/>
    </row>
    <row r="69" spans="2:43" ht="12.75">
      <c r="B69" s="19" t="s">
        <v>34</v>
      </c>
      <c r="D69" s="19" t="s">
        <v>109</v>
      </c>
      <c r="E69" s="3">
        <v>100</v>
      </c>
      <c r="F69" s="22">
        <f>F51/F64/60/0.0283*1000*(21-7)/(21-F65)</f>
        <v>18.258495531175893</v>
      </c>
      <c r="G69" s="3">
        <v>100</v>
      </c>
      <c r="H69" s="22">
        <f>H51/H64/60/0.0283*1000*(21-7)/(21-H65)</f>
        <v>24.003316155882715</v>
      </c>
      <c r="I69" s="3">
        <v>100</v>
      </c>
      <c r="J69" s="22">
        <f>J51/J64/60/0.0283*1000*(21-7)/(21-J65)</f>
        <v>23.203546435034134</v>
      </c>
      <c r="K69" s="3">
        <v>100</v>
      </c>
      <c r="L69" s="22">
        <f>AVERAGE(J69,H69,F69)</f>
        <v>21.821786040697578</v>
      </c>
      <c r="M69" s="24"/>
      <c r="N69" s="22">
        <f>N51/N64/60/0.0283*1000*(21-7)/(21-N65)</f>
        <v>47.563269006221304</v>
      </c>
      <c r="O69" s="24"/>
      <c r="P69" s="22">
        <f>P51/P64/60/0.0283*1000*(21-7)/(21-P65)</f>
        <v>44.7123543735089</v>
      </c>
      <c r="Q69" s="24"/>
      <c r="R69" s="22">
        <f>R51/R64/60/0.0283*1000*(21-7)/(21-R65)</f>
        <v>46.78540205586899</v>
      </c>
      <c r="S69" s="24"/>
      <c r="T69" s="22">
        <f>T51/T64/60/0.0283*1000*(21-7)/(21-T65)</f>
        <v>46.329189417390054</v>
      </c>
      <c r="U69" s="3">
        <f aca="true" t="shared" si="4" ref="U69:U75">F69/V69*100</f>
        <v>27.739298178191763</v>
      </c>
      <c r="V69" s="22">
        <f>SUM(N69,F69)</f>
        <v>65.8217645373972</v>
      </c>
      <c r="W69" s="3">
        <f aca="true" t="shared" si="5" ref="W69:W75">H69/X69*100</f>
        <v>34.931356953892816</v>
      </c>
      <c r="X69" s="22">
        <f>SUM(P69,H69)</f>
        <v>68.71567052939162</v>
      </c>
      <c r="Y69" s="3">
        <f aca="true" t="shared" si="6" ref="Y69:Y75">J69/Z69*100</f>
        <v>33.15315765609771</v>
      </c>
      <c r="Z69" s="22">
        <f>SUM(R69,J69)</f>
        <v>69.98894849090313</v>
      </c>
      <c r="AA69" s="3">
        <f aca="true" t="shared" si="7" ref="AA69:AA75">L69/AB69*100</f>
        <v>32.01977065481304</v>
      </c>
      <c r="AB69" s="22">
        <f>SUM(T69,L69)</f>
        <v>68.15097545808763</v>
      </c>
      <c r="AJ69" s="3"/>
      <c r="AK69" s="3"/>
      <c r="AL69" s="3"/>
      <c r="AM69" s="3"/>
      <c r="AN69" s="3"/>
      <c r="AO69" s="3"/>
      <c r="AP69" s="3"/>
      <c r="AQ69" s="3"/>
    </row>
    <row r="70" spans="2:43" ht="12.75">
      <c r="B70" s="19" t="s">
        <v>94</v>
      </c>
      <c r="D70" s="19" t="s">
        <v>56</v>
      </c>
      <c r="E70" s="3">
        <v>100</v>
      </c>
      <c r="F70" s="22">
        <f>F52/F$64/60/0.0283*1000000*(21-7)/(21-F$65)</f>
        <v>45865.315676395265</v>
      </c>
      <c r="G70" s="3">
        <v>100</v>
      </c>
      <c r="H70" s="22">
        <f>H52/H$64/60/0.0283*1000000*(21-7)/(21-H$65)</f>
        <v>37936.55115233457</v>
      </c>
      <c r="I70" s="3">
        <v>100</v>
      </c>
      <c r="J70" s="22">
        <f aca="true" t="shared" si="8" ref="J70:J80">J52/J$64/60/0.0283*1000000*(21-7)/(21-J$65)</f>
        <v>30577.11896827372</v>
      </c>
      <c r="K70" s="3">
        <v>100</v>
      </c>
      <c r="L70" s="22">
        <f aca="true" t="shared" si="9" ref="L70:L80">AVERAGE(J70,H70,F70)</f>
        <v>38126.32859900119</v>
      </c>
      <c r="M70" s="24"/>
      <c r="N70" s="24"/>
      <c r="O70" s="24"/>
      <c r="P70" s="24"/>
      <c r="Q70" s="24"/>
      <c r="R70" s="24"/>
      <c r="S70" s="24"/>
      <c r="T70" s="22"/>
      <c r="U70" s="3">
        <f t="shared" si="4"/>
        <v>100</v>
      </c>
      <c r="V70" s="22">
        <f aca="true" t="shared" si="10" ref="V70:AB80">SUM(N70,F70)</f>
        <v>45865.315676395265</v>
      </c>
      <c r="W70" s="3">
        <f t="shared" si="5"/>
        <v>100</v>
      </c>
      <c r="X70" s="22">
        <f t="shared" si="10"/>
        <v>37936.55115233457</v>
      </c>
      <c r="Y70" s="3">
        <f t="shared" si="6"/>
        <v>100</v>
      </c>
      <c r="Z70" s="22">
        <f t="shared" si="10"/>
        <v>30577.11896827372</v>
      </c>
      <c r="AA70" s="3">
        <f t="shared" si="7"/>
        <v>100</v>
      </c>
      <c r="AB70" s="22">
        <f t="shared" si="10"/>
        <v>38126.32859900119</v>
      </c>
      <c r="AJ70" s="3"/>
      <c r="AK70" s="3"/>
      <c r="AL70" s="3"/>
      <c r="AM70" s="3"/>
      <c r="AN70" s="3"/>
      <c r="AO70" s="3"/>
      <c r="AP70" s="3"/>
      <c r="AQ70" s="3"/>
    </row>
    <row r="71" spans="2:43" ht="12.75">
      <c r="B71" s="19" t="s">
        <v>173</v>
      </c>
      <c r="D71" s="19" t="s">
        <v>56</v>
      </c>
      <c r="E71" s="3">
        <v>100</v>
      </c>
      <c r="F71" s="22">
        <f aca="true" t="shared" si="11" ref="F71:H80">F53/F$64/60/0.0283*1000000*(21-7)/(21-F$65)</f>
        <v>57.812829352140476</v>
      </c>
      <c r="G71" s="3">
        <v>100</v>
      </c>
      <c r="H71" s="22">
        <f t="shared" si="11"/>
        <v>48.28975507937246</v>
      </c>
      <c r="I71" s="3">
        <v>100</v>
      </c>
      <c r="J71" s="22">
        <f t="shared" si="8"/>
        <v>49.16964391993942</v>
      </c>
      <c r="K71" s="3">
        <v>100</v>
      </c>
      <c r="L71" s="22">
        <f t="shared" si="9"/>
        <v>51.75740945048412</v>
      </c>
      <c r="M71" s="24"/>
      <c r="N71" s="24"/>
      <c r="O71" s="24"/>
      <c r="P71" s="24"/>
      <c r="Q71" s="24"/>
      <c r="R71" s="24"/>
      <c r="S71" s="24"/>
      <c r="T71" s="22"/>
      <c r="U71" s="3">
        <f t="shared" si="4"/>
        <v>100</v>
      </c>
      <c r="V71" s="22">
        <f t="shared" si="10"/>
        <v>57.812829352140476</v>
      </c>
      <c r="W71" s="3">
        <f t="shared" si="5"/>
        <v>100</v>
      </c>
      <c r="X71" s="22">
        <f t="shared" si="10"/>
        <v>48.28975507937246</v>
      </c>
      <c r="Y71" s="3">
        <f t="shared" si="6"/>
        <v>100</v>
      </c>
      <c r="Z71" s="22">
        <f t="shared" si="10"/>
        <v>49.16964391993942</v>
      </c>
      <c r="AA71" s="3">
        <f t="shared" si="7"/>
        <v>100</v>
      </c>
      <c r="AB71" s="22">
        <f t="shared" si="10"/>
        <v>51.75740945048412</v>
      </c>
      <c r="AJ71" s="3"/>
      <c r="AK71" s="3"/>
      <c r="AL71" s="3"/>
      <c r="AM71" s="3"/>
      <c r="AN71" s="3"/>
      <c r="AO71" s="3"/>
      <c r="AP71" s="3"/>
      <c r="AQ71" s="3"/>
    </row>
    <row r="72" spans="2:43" ht="12.75">
      <c r="B72" s="19" t="s">
        <v>168</v>
      </c>
      <c r="D72" s="19" t="s">
        <v>56</v>
      </c>
      <c r="E72" s="3">
        <v>100</v>
      </c>
      <c r="F72" s="22">
        <f t="shared" si="11"/>
        <v>2.9252641593480995</v>
      </c>
      <c r="G72" s="3">
        <v>100</v>
      </c>
      <c r="H72" s="22">
        <f t="shared" si="11"/>
        <v>2.4443782488595684</v>
      </c>
      <c r="I72" s="3">
        <v>100</v>
      </c>
      <c r="J72" s="22">
        <f t="shared" si="8"/>
        <v>2.5959128777607767</v>
      </c>
      <c r="K72" s="3">
        <v>100</v>
      </c>
      <c r="L72" s="22">
        <f t="shared" si="9"/>
        <v>2.655185095322815</v>
      </c>
      <c r="M72" s="24"/>
      <c r="N72" s="24"/>
      <c r="O72" s="24"/>
      <c r="P72" s="24"/>
      <c r="Q72" s="24"/>
      <c r="R72" s="24"/>
      <c r="S72" s="24"/>
      <c r="T72" s="22"/>
      <c r="U72" s="3">
        <f t="shared" si="4"/>
        <v>100</v>
      </c>
      <c r="V72" s="22">
        <f t="shared" si="10"/>
        <v>2.9252641593480995</v>
      </c>
      <c r="W72" s="3">
        <f t="shared" si="5"/>
        <v>100</v>
      </c>
      <c r="X72" s="22">
        <f t="shared" si="10"/>
        <v>2.4443782488595684</v>
      </c>
      <c r="Y72" s="3">
        <f t="shared" si="6"/>
        <v>100</v>
      </c>
      <c r="Z72" s="22">
        <f t="shared" si="10"/>
        <v>2.5959128777607767</v>
      </c>
      <c r="AA72" s="3">
        <f t="shared" si="7"/>
        <v>100</v>
      </c>
      <c r="AB72" s="22">
        <f t="shared" si="10"/>
        <v>2.655185095322815</v>
      </c>
      <c r="AJ72" s="3"/>
      <c r="AK72" s="3"/>
      <c r="AL72" s="3"/>
      <c r="AM72" s="3"/>
      <c r="AN72" s="3"/>
      <c r="AO72" s="3"/>
      <c r="AP72" s="3"/>
      <c r="AQ72" s="3"/>
    </row>
    <row r="73" spans="2:43" ht="12.75">
      <c r="B73" s="19" t="s">
        <v>169</v>
      </c>
      <c r="D73" s="19" t="s">
        <v>56</v>
      </c>
      <c r="E73" s="3">
        <v>100</v>
      </c>
      <c r="F73" s="22">
        <f t="shared" si="11"/>
        <v>3.6883765487432565</v>
      </c>
      <c r="H73" s="22">
        <f t="shared" si="11"/>
        <v>3.414158749765811</v>
      </c>
      <c r="I73" s="3">
        <v>100</v>
      </c>
      <c r="J73" s="22">
        <f t="shared" si="8"/>
        <v>2.9151962798383053</v>
      </c>
      <c r="K73" s="3">
        <f>SUM(J73,F73)/L73/3*100</f>
        <v>65.91884377152532</v>
      </c>
      <c r="L73" s="22">
        <f t="shared" si="9"/>
        <v>3.3392438594491245</v>
      </c>
      <c r="M73" s="24"/>
      <c r="N73" s="24"/>
      <c r="O73" s="24"/>
      <c r="P73" s="24"/>
      <c r="Q73" s="24"/>
      <c r="R73" s="24"/>
      <c r="S73" s="24"/>
      <c r="T73" s="22"/>
      <c r="U73" s="3">
        <f t="shared" si="4"/>
        <v>100</v>
      </c>
      <c r="V73" s="22">
        <f t="shared" si="10"/>
        <v>3.6883765487432565</v>
      </c>
      <c r="W73" s="3">
        <f t="shared" si="5"/>
        <v>100</v>
      </c>
      <c r="X73" s="22">
        <f t="shared" si="10"/>
        <v>3.414158749765811</v>
      </c>
      <c r="Y73" s="3">
        <f t="shared" si="6"/>
        <v>100</v>
      </c>
      <c r="Z73" s="22">
        <f t="shared" si="10"/>
        <v>2.9151962798383053</v>
      </c>
      <c r="AA73" s="3">
        <f t="shared" si="7"/>
        <v>100</v>
      </c>
      <c r="AB73" s="22">
        <f t="shared" si="10"/>
        <v>3.3392438594491245</v>
      </c>
      <c r="AJ73" s="3"/>
      <c r="AK73" s="3"/>
      <c r="AL73" s="3"/>
      <c r="AM73" s="3"/>
      <c r="AN73" s="3"/>
      <c r="AO73" s="3"/>
      <c r="AP73" s="3"/>
      <c r="AQ73" s="3"/>
    </row>
    <row r="74" spans="2:43" ht="12.75">
      <c r="B74" s="19" t="s">
        <v>170</v>
      </c>
      <c r="D74" s="19" t="s">
        <v>56</v>
      </c>
      <c r="E74" s="3">
        <v>100</v>
      </c>
      <c r="F74" s="22">
        <f t="shared" si="11"/>
        <v>0.353292772868128</v>
      </c>
      <c r="G74" s="3">
        <v>100</v>
      </c>
      <c r="H74" s="22">
        <f t="shared" si="11"/>
        <v>0.30554728110744606</v>
      </c>
      <c r="I74" s="3">
        <v>100</v>
      </c>
      <c r="J74" s="22">
        <f t="shared" si="8"/>
        <v>0.31928340207752864</v>
      </c>
      <c r="K74" s="3">
        <v>100</v>
      </c>
      <c r="L74" s="22">
        <f t="shared" si="9"/>
        <v>0.3260411520177009</v>
      </c>
      <c r="M74" s="24"/>
      <c r="N74" s="24"/>
      <c r="O74" s="24"/>
      <c r="P74" s="24"/>
      <c r="Q74" s="24"/>
      <c r="R74" s="24"/>
      <c r="S74" s="24"/>
      <c r="T74" s="22"/>
      <c r="U74" s="3">
        <f t="shared" si="4"/>
        <v>100</v>
      </c>
      <c r="V74" s="22">
        <f t="shared" si="10"/>
        <v>0.353292772868128</v>
      </c>
      <c r="W74" s="3">
        <f t="shared" si="5"/>
        <v>100</v>
      </c>
      <c r="X74" s="22">
        <f t="shared" si="10"/>
        <v>0.30554728110744606</v>
      </c>
      <c r="Y74" s="3">
        <f t="shared" si="6"/>
        <v>100</v>
      </c>
      <c r="Z74" s="22">
        <f t="shared" si="10"/>
        <v>0.31928340207752864</v>
      </c>
      <c r="AA74" s="3">
        <f t="shared" si="7"/>
        <v>100</v>
      </c>
      <c r="AB74" s="22">
        <f t="shared" si="10"/>
        <v>0.3260411520177009</v>
      </c>
      <c r="AJ74" s="3"/>
      <c r="AK74" s="3"/>
      <c r="AL74" s="3"/>
      <c r="AM74" s="3"/>
      <c r="AN74" s="3"/>
      <c r="AO74" s="3"/>
      <c r="AP74" s="3"/>
      <c r="AQ74" s="3"/>
    </row>
    <row r="75" spans="2:43" ht="12.75">
      <c r="B75" s="19" t="s">
        <v>176</v>
      </c>
      <c r="D75" s="19" t="s">
        <v>56</v>
      </c>
      <c r="F75" s="22">
        <f t="shared" si="11"/>
        <v>0.353292772868128</v>
      </c>
      <c r="G75" s="3">
        <v>100</v>
      </c>
      <c r="H75" s="22">
        <f t="shared" si="11"/>
        <v>0.37197060308732566</v>
      </c>
      <c r="I75" s="3">
        <v>100</v>
      </c>
      <c r="J75" s="22">
        <f t="shared" si="8"/>
        <v>0.31928340207752864</v>
      </c>
      <c r="K75" s="3">
        <f>SUM(J75,H75)/L75/3*100</f>
        <v>66.17741011719701</v>
      </c>
      <c r="L75" s="22">
        <f t="shared" si="9"/>
        <v>0.3481822593443275</v>
      </c>
      <c r="M75" s="24"/>
      <c r="N75" s="24"/>
      <c r="O75" s="24"/>
      <c r="P75" s="24"/>
      <c r="Q75" s="24"/>
      <c r="R75" s="24"/>
      <c r="S75" s="24"/>
      <c r="T75" s="22"/>
      <c r="U75" s="3">
        <f t="shared" si="4"/>
        <v>100</v>
      </c>
      <c r="V75" s="22">
        <f t="shared" si="10"/>
        <v>0.353292772868128</v>
      </c>
      <c r="W75" s="3">
        <f t="shared" si="5"/>
        <v>100</v>
      </c>
      <c r="X75" s="22">
        <f t="shared" si="10"/>
        <v>0.37197060308732566</v>
      </c>
      <c r="Y75" s="3">
        <f t="shared" si="6"/>
        <v>100</v>
      </c>
      <c r="Z75" s="22">
        <f t="shared" si="10"/>
        <v>0.31928340207752864</v>
      </c>
      <c r="AA75" s="3">
        <f t="shared" si="7"/>
        <v>100</v>
      </c>
      <c r="AB75" s="22">
        <f t="shared" si="10"/>
        <v>0.3481822593443275</v>
      </c>
      <c r="AJ75" s="3"/>
      <c r="AK75" s="3"/>
      <c r="AL75" s="3"/>
      <c r="AM75" s="3"/>
      <c r="AN75" s="3"/>
      <c r="AO75" s="3"/>
      <c r="AP75" s="3"/>
      <c r="AQ75" s="3"/>
    </row>
    <row r="76" spans="2:43" ht="12.75">
      <c r="B76" s="19" t="s">
        <v>166</v>
      </c>
      <c r="D76" s="19" t="s">
        <v>56</v>
      </c>
      <c r="F76" s="22">
        <f t="shared" si="11"/>
        <v>38.113224337013655</v>
      </c>
      <c r="H76" s="22">
        <f t="shared" si="11"/>
        <v>24.523490474971542</v>
      </c>
      <c r="J76" s="22">
        <f t="shared" si="8"/>
        <v>27.99976617349458</v>
      </c>
      <c r="L76" s="22">
        <f t="shared" si="9"/>
        <v>30.21216032849326</v>
      </c>
      <c r="M76" s="24"/>
      <c r="N76" s="22">
        <f>N58/N$64/60/0.0283*1000000*(21-7)/(21-N$65)</f>
        <v>4679.405171771099</v>
      </c>
      <c r="O76" s="24"/>
      <c r="P76" s="22">
        <f>P58/P$64/60/0.0283*1000000*(21-7)/(21-P$65)</f>
        <v>4398.924352110714</v>
      </c>
      <c r="Q76" s="24"/>
      <c r="R76" s="22">
        <f>R58/R$64/60/0.0283*1000000*(21-7)/(21-R$65)</f>
        <v>4596.68149404904</v>
      </c>
      <c r="S76" s="24"/>
      <c r="T76" s="22">
        <f>AVERAGE(R76,P76,N76)</f>
        <v>4558.33700597695</v>
      </c>
      <c r="V76" s="22">
        <f t="shared" si="10"/>
        <v>4717.518396108113</v>
      </c>
      <c r="X76" s="22">
        <f t="shared" si="10"/>
        <v>4423.447842585685</v>
      </c>
      <c r="Z76" s="22">
        <f t="shared" si="10"/>
        <v>4624.681260222535</v>
      </c>
      <c r="AB76" s="22">
        <f t="shared" si="10"/>
        <v>4588.549166305444</v>
      </c>
      <c r="AJ76" s="3"/>
      <c r="AK76" s="3"/>
      <c r="AL76" s="3"/>
      <c r="AM76" s="3"/>
      <c r="AN76" s="3"/>
      <c r="AO76" s="3"/>
      <c r="AP76" s="3"/>
      <c r="AQ76" s="3"/>
    </row>
    <row r="77" spans="2:43" ht="12.75">
      <c r="B77" s="19" t="s">
        <v>174</v>
      </c>
      <c r="D77" s="19" t="s">
        <v>56</v>
      </c>
      <c r="E77" s="3">
        <v>100</v>
      </c>
      <c r="F77" s="22">
        <f t="shared" si="11"/>
        <v>59.04228820172157</v>
      </c>
      <c r="G77" s="3">
        <v>100</v>
      </c>
      <c r="H77" s="22">
        <f t="shared" si="11"/>
        <v>52.22201574058133</v>
      </c>
      <c r="I77" s="3">
        <v>100</v>
      </c>
      <c r="J77" s="22">
        <f t="shared" si="8"/>
        <v>51.68226547541911</v>
      </c>
      <c r="K77" s="3">
        <v>100</v>
      </c>
      <c r="L77" s="22">
        <f t="shared" si="9"/>
        <v>54.31552313924067</v>
      </c>
      <c r="M77" s="24"/>
      <c r="N77" s="24"/>
      <c r="O77" s="24"/>
      <c r="P77" s="24"/>
      <c r="Q77" s="24"/>
      <c r="R77" s="24"/>
      <c r="S77" s="24"/>
      <c r="T77" s="22"/>
      <c r="U77" s="3">
        <f>F77/V77*100</f>
        <v>100</v>
      </c>
      <c r="V77" s="22">
        <f t="shared" si="10"/>
        <v>59.04228820172157</v>
      </c>
      <c r="W77" s="3">
        <f>H77/X77*100</f>
        <v>100</v>
      </c>
      <c r="X77" s="22">
        <f t="shared" si="10"/>
        <v>52.22201574058133</v>
      </c>
      <c r="Y77" s="3">
        <f>J77/Z77*100</f>
        <v>100</v>
      </c>
      <c r="Z77" s="22">
        <f t="shared" si="10"/>
        <v>51.68226547541911</v>
      </c>
      <c r="AA77" s="3">
        <f>L77/AB77*100</f>
        <v>100</v>
      </c>
      <c r="AB77" s="22">
        <f t="shared" si="10"/>
        <v>54.31552313924067</v>
      </c>
      <c r="AJ77" s="3"/>
      <c r="AK77" s="3"/>
      <c r="AL77" s="3"/>
      <c r="AM77" s="3"/>
      <c r="AN77" s="3"/>
      <c r="AO77" s="3"/>
      <c r="AP77" s="3"/>
      <c r="AQ77" s="3"/>
    </row>
    <row r="78" spans="2:43" ht="12.75">
      <c r="B78" s="19" t="s">
        <v>181</v>
      </c>
      <c r="D78" s="19" t="s">
        <v>56</v>
      </c>
      <c r="E78" s="3">
        <v>100</v>
      </c>
      <c r="F78" s="22">
        <f t="shared" si="11"/>
        <v>0.353292772868128</v>
      </c>
      <c r="G78" s="3">
        <v>100</v>
      </c>
      <c r="H78" s="22">
        <f t="shared" si="11"/>
        <v>0.30554728110744606</v>
      </c>
      <c r="I78" s="3">
        <v>100</v>
      </c>
      <c r="J78" s="22">
        <f t="shared" si="8"/>
        <v>0.31928340207752864</v>
      </c>
      <c r="K78" s="3">
        <v>100</v>
      </c>
      <c r="L78" s="22">
        <f t="shared" si="9"/>
        <v>0.3260411520177009</v>
      </c>
      <c r="M78" s="24"/>
      <c r="N78" s="24"/>
      <c r="O78" s="24"/>
      <c r="P78" s="24"/>
      <c r="Q78" s="24"/>
      <c r="R78" s="24"/>
      <c r="S78" s="24"/>
      <c r="T78" s="22"/>
      <c r="U78" s="3">
        <f>F78/V78*100</f>
        <v>100</v>
      </c>
      <c r="V78" s="22">
        <f t="shared" si="10"/>
        <v>0.353292772868128</v>
      </c>
      <c r="W78" s="3">
        <f>H78/X78*100</f>
        <v>100</v>
      </c>
      <c r="X78" s="22">
        <f t="shared" si="10"/>
        <v>0.30554728110744606</v>
      </c>
      <c r="Y78" s="3">
        <f>J78/Z78*100</f>
        <v>100</v>
      </c>
      <c r="Z78" s="22">
        <f t="shared" si="10"/>
        <v>0.31928340207752864</v>
      </c>
      <c r="AA78" s="3">
        <f>L78/AB78*100</f>
        <v>100</v>
      </c>
      <c r="AB78" s="22">
        <f t="shared" si="10"/>
        <v>0.3260411520177009</v>
      </c>
      <c r="AJ78" s="3"/>
      <c r="AK78" s="3"/>
      <c r="AL78" s="3"/>
      <c r="AM78" s="3"/>
      <c r="AN78" s="3"/>
      <c r="AO78" s="3"/>
      <c r="AP78" s="3"/>
      <c r="AQ78" s="3"/>
    </row>
    <row r="79" spans="2:43" ht="12.75">
      <c r="B79" s="19" t="s">
        <v>177</v>
      </c>
      <c r="D79" s="19" t="s">
        <v>56</v>
      </c>
      <c r="E79" s="3">
        <v>100</v>
      </c>
      <c r="F79" s="22">
        <f t="shared" si="11"/>
        <v>9.199743805486055</v>
      </c>
      <c r="G79" s="3">
        <v>100</v>
      </c>
      <c r="H79" s="22">
        <f t="shared" si="11"/>
        <v>14.214590903694234</v>
      </c>
      <c r="I79" s="3">
        <v>100</v>
      </c>
      <c r="J79" s="22">
        <f t="shared" si="8"/>
        <v>9.425801304810523</v>
      </c>
      <c r="K79" s="3">
        <v>100</v>
      </c>
      <c r="L79" s="22">
        <f t="shared" si="9"/>
        <v>10.946712004663604</v>
      </c>
      <c r="M79" s="24"/>
      <c r="N79" s="24"/>
      <c r="O79" s="24"/>
      <c r="P79" s="24"/>
      <c r="Q79" s="24"/>
      <c r="R79" s="24"/>
      <c r="S79" s="24"/>
      <c r="T79" s="22"/>
      <c r="U79" s="3">
        <f>F79/V79*100</f>
        <v>100</v>
      </c>
      <c r="V79" s="22">
        <f t="shared" si="10"/>
        <v>9.199743805486055</v>
      </c>
      <c r="W79" s="3">
        <f>H79/X79*100</f>
        <v>100</v>
      </c>
      <c r="X79" s="22">
        <f t="shared" si="10"/>
        <v>14.214590903694234</v>
      </c>
      <c r="Y79" s="3">
        <f>J79/Z79*100</f>
        <v>100</v>
      </c>
      <c r="Z79" s="22">
        <f t="shared" si="10"/>
        <v>9.425801304810523</v>
      </c>
      <c r="AA79" s="3">
        <f>L79/AB79*100</f>
        <v>100</v>
      </c>
      <c r="AB79" s="22">
        <f t="shared" si="10"/>
        <v>10.946712004663604</v>
      </c>
      <c r="AJ79" s="3"/>
      <c r="AK79" s="3"/>
      <c r="AL79" s="3"/>
      <c r="AM79" s="3"/>
      <c r="AN79" s="3"/>
      <c r="AO79" s="3"/>
      <c r="AP79" s="3"/>
      <c r="AQ79" s="3"/>
    </row>
    <row r="80" spans="2:43" ht="12.75">
      <c r="B80" s="19" t="s">
        <v>172</v>
      </c>
      <c r="D80" s="19" t="s">
        <v>56</v>
      </c>
      <c r="E80" s="3">
        <v>100</v>
      </c>
      <c r="F80" s="22">
        <f t="shared" si="11"/>
        <v>3.6742448378285317</v>
      </c>
      <c r="G80" s="3">
        <v>100</v>
      </c>
      <c r="H80" s="22">
        <f t="shared" si="11"/>
        <v>6.31021558808856</v>
      </c>
      <c r="I80" s="3">
        <v>100</v>
      </c>
      <c r="J80" s="22">
        <f t="shared" si="8"/>
        <v>7.079762393893028</v>
      </c>
      <c r="K80" s="3">
        <v>100</v>
      </c>
      <c r="L80" s="22">
        <f t="shared" si="9"/>
        <v>5.68807427327004</v>
      </c>
      <c r="M80" s="24"/>
      <c r="N80" s="24"/>
      <c r="O80" s="24"/>
      <c r="P80" s="24"/>
      <c r="Q80" s="24"/>
      <c r="R80" s="24"/>
      <c r="S80" s="24"/>
      <c r="T80" s="22"/>
      <c r="U80" s="3">
        <f>F80/V80*100</f>
        <v>100</v>
      </c>
      <c r="V80" s="22">
        <f t="shared" si="10"/>
        <v>3.6742448378285317</v>
      </c>
      <c r="W80" s="3">
        <f>H80/X80*100</f>
        <v>100</v>
      </c>
      <c r="X80" s="22">
        <f t="shared" si="10"/>
        <v>6.31021558808856</v>
      </c>
      <c r="Y80" s="3">
        <f>J80/Z80*100</f>
        <v>100</v>
      </c>
      <c r="Z80" s="22">
        <f t="shared" si="10"/>
        <v>7.079762393893028</v>
      </c>
      <c r="AA80" s="3">
        <f>L80/AB80*100</f>
        <v>100</v>
      </c>
      <c r="AB80" s="22">
        <f t="shared" si="10"/>
        <v>5.68807427327004</v>
      </c>
      <c r="AJ80" s="3"/>
      <c r="AK80" s="3"/>
      <c r="AL80" s="3"/>
      <c r="AM80" s="3"/>
      <c r="AN80" s="3"/>
      <c r="AO80" s="3"/>
      <c r="AP80" s="3"/>
      <c r="AQ80" s="3"/>
    </row>
    <row r="81" spans="2:43" ht="12.75">
      <c r="B81" s="19" t="s">
        <v>116</v>
      </c>
      <c r="D81" s="19" t="s">
        <v>56</v>
      </c>
      <c r="E81" s="3">
        <f>F77/F81</f>
        <v>0.9940518677135379</v>
      </c>
      <c r="F81" s="22">
        <f>F77+F75</f>
        <v>59.3955809745897</v>
      </c>
      <c r="G81" s="3">
        <v>100</v>
      </c>
      <c r="H81" s="22">
        <f>H77+H75</f>
        <v>52.593986343668654</v>
      </c>
      <c r="I81" s="3">
        <v>100</v>
      </c>
      <c r="J81" s="22">
        <f>J77+J75</f>
        <v>52.00154887749664</v>
      </c>
      <c r="K81" s="3">
        <f>SUM(K75*L75/100,L77)/L81*100</f>
        <v>99.78456590755415</v>
      </c>
      <c r="L81" s="22">
        <f>AVERAGE(J81,H81,F81)</f>
        <v>54.663705398584995</v>
      </c>
      <c r="M81" s="24"/>
      <c r="N81" s="24"/>
      <c r="O81" s="24"/>
      <c r="P81" s="24"/>
      <c r="Q81" s="24"/>
      <c r="R81" s="24"/>
      <c r="S81" s="24"/>
      <c r="T81" s="22"/>
      <c r="U81" s="3">
        <f>F81/V81*100</f>
        <v>100</v>
      </c>
      <c r="V81" s="22">
        <f>SUM(N81,F81)</f>
        <v>59.3955809745897</v>
      </c>
      <c r="W81" s="3">
        <f>H81/X81*100</f>
        <v>100</v>
      </c>
      <c r="X81" s="22">
        <f>SUM(P81,H81)</f>
        <v>52.593986343668654</v>
      </c>
      <c r="Y81" s="3">
        <f>J81/Z81*100</f>
        <v>100</v>
      </c>
      <c r="Z81" s="22">
        <f>SUM(R81,J81)</f>
        <v>52.00154887749664</v>
      </c>
      <c r="AA81" s="3">
        <f>L81/AB81*100</f>
        <v>100</v>
      </c>
      <c r="AB81" s="22">
        <f>SUM(T81,L81)</f>
        <v>54.663705398584995</v>
      </c>
      <c r="AJ81" s="3"/>
      <c r="AK81" s="3"/>
      <c r="AL81" s="3"/>
      <c r="AM81" s="3"/>
      <c r="AN81" s="3"/>
      <c r="AO81" s="3"/>
      <c r="AP81" s="3"/>
      <c r="AQ81" s="3"/>
    </row>
    <row r="82" spans="2:43" ht="12.75">
      <c r="B82" s="19" t="s">
        <v>117</v>
      </c>
      <c r="D82" s="19" t="s">
        <v>56</v>
      </c>
      <c r="E82" s="3">
        <f>SUM(F72,F74)/F82*100</f>
        <v>7.920792079207918</v>
      </c>
      <c r="F82" s="22">
        <f>F74+F72+F76</f>
        <v>41.39178126922988</v>
      </c>
      <c r="G82" s="3">
        <f>SUM(H72,H74)/H82*100</f>
        <v>10.082805650267899</v>
      </c>
      <c r="H82" s="22">
        <f>H74+H72+H76</f>
        <v>27.273416004938557</v>
      </c>
      <c r="I82" s="3">
        <f>SUM(J72,J74)/J82*100</f>
        <v>9.429726088908845</v>
      </c>
      <c r="J82" s="22">
        <f>J74+J72+J76</f>
        <v>30.914962453332887</v>
      </c>
      <c r="K82" s="3">
        <f>AVERAGE((F82*E82/100),(H82*G82/100),(J82*I82/100))/L82*100</f>
        <v>8.981386218395015</v>
      </c>
      <c r="L82" s="22">
        <f>AVERAGE(J82,H82,F82)</f>
        <v>33.19338657583378</v>
      </c>
      <c r="M82" s="24"/>
      <c r="N82" s="24">
        <f>N76</f>
        <v>4679.405171771099</v>
      </c>
      <c r="O82" s="24"/>
      <c r="P82" s="24">
        <f>P76</f>
        <v>4398.924352110714</v>
      </c>
      <c r="Q82" s="24"/>
      <c r="R82" s="24">
        <f>R76</f>
        <v>4596.68149404904</v>
      </c>
      <c r="S82" s="24"/>
      <c r="T82" s="24">
        <f>T76</f>
        <v>4558.33700597695</v>
      </c>
      <c r="V82" s="22">
        <f>SUM(N82,F82)</f>
        <v>4720.796953040329</v>
      </c>
      <c r="X82" s="22">
        <f>SUM(P82,H82)</f>
        <v>4426.197768115652</v>
      </c>
      <c r="Z82" s="22">
        <f>SUM(R82,J82)</f>
        <v>4627.596456502373</v>
      </c>
      <c r="AB82" s="22">
        <f>SUM(T82,L82)</f>
        <v>4591.530392552784</v>
      </c>
      <c r="AJ82" s="3"/>
      <c r="AK82" s="3"/>
      <c r="AL82" s="3"/>
      <c r="AM82" s="3"/>
      <c r="AN82" s="3"/>
      <c r="AO82" s="3"/>
      <c r="AP82" s="3"/>
      <c r="AQ82" s="3"/>
    </row>
    <row r="83" spans="12:43" ht="12.75">
      <c r="L83" s="22"/>
      <c r="M83" s="24"/>
      <c r="N83" s="24"/>
      <c r="O83" s="24"/>
      <c r="P83" s="24"/>
      <c r="Q83" s="24"/>
      <c r="R83" s="24"/>
      <c r="S83" s="24"/>
      <c r="T83" s="22"/>
      <c r="AB83" s="3"/>
      <c r="AJ83" s="3"/>
      <c r="AK83" s="3"/>
      <c r="AL83" s="3"/>
      <c r="AM83" s="3"/>
      <c r="AN83" s="3"/>
      <c r="AO83" s="3"/>
      <c r="AP83" s="3"/>
      <c r="AQ83" s="3"/>
    </row>
    <row r="84" spans="1:43" ht="12.75">
      <c r="A84" s="21" t="s">
        <v>179</v>
      </c>
      <c r="B84" s="18" t="s">
        <v>49</v>
      </c>
      <c r="C84" s="18"/>
      <c r="L84" s="22"/>
      <c r="M84" s="24"/>
      <c r="N84" s="24"/>
      <c r="O84" s="24"/>
      <c r="P84" s="24"/>
      <c r="Q84" s="24"/>
      <c r="R84" s="24"/>
      <c r="S84" s="24"/>
      <c r="T84" s="22"/>
      <c r="AB84" s="3"/>
      <c r="AJ84" s="3"/>
      <c r="AK84" s="3"/>
      <c r="AL84" s="3"/>
      <c r="AM84" s="3"/>
      <c r="AN84" s="3"/>
      <c r="AO84" s="3"/>
      <c r="AP84" s="3"/>
      <c r="AQ84" s="3"/>
    </row>
    <row r="85" spans="2:43" ht="12.75">
      <c r="B85" s="18"/>
      <c r="C85" s="18"/>
      <c r="L85" s="22"/>
      <c r="M85" s="24"/>
      <c r="N85" s="24"/>
      <c r="O85" s="24"/>
      <c r="P85" s="24"/>
      <c r="Q85" s="24"/>
      <c r="R85" s="24"/>
      <c r="S85" s="24"/>
      <c r="T85" s="22"/>
      <c r="AB85" s="3"/>
      <c r="AJ85" s="3"/>
      <c r="AK85" s="3"/>
      <c r="AL85" s="3"/>
      <c r="AM85" s="3"/>
      <c r="AN85" s="3"/>
      <c r="AO85" s="3"/>
      <c r="AP85" s="3"/>
      <c r="AQ85" s="3"/>
    </row>
    <row r="86" spans="2:43" ht="12.75">
      <c r="B86" s="19" t="s">
        <v>107</v>
      </c>
      <c r="D86" s="19" t="s">
        <v>29</v>
      </c>
      <c r="F86" s="20">
        <f>emiss!G59</f>
        <v>163984</v>
      </c>
      <c r="H86" s="20">
        <f>emiss!I59</f>
        <v>169132</v>
      </c>
      <c r="J86" s="20">
        <f>emiss!K59</f>
        <v>165576</v>
      </c>
      <c r="L86" s="42">
        <f>emiss!M59</f>
        <v>166230.66666666666</v>
      </c>
      <c r="M86" s="24"/>
      <c r="N86" s="24"/>
      <c r="O86" s="24"/>
      <c r="P86" s="24"/>
      <c r="Q86" s="24"/>
      <c r="R86" s="24"/>
      <c r="S86" s="24"/>
      <c r="T86" s="22"/>
      <c r="AB86" s="3"/>
      <c r="AJ86" s="3"/>
      <c r="AK86" s="3"/>
      <c r="AL86" s="3"/>
      <c r="AM86" s="3"/>
      <c r="AN86" s="3"/>
      <c r="AO86" s="3"/>
      <c r="AP86" s="3"/>
      <c r="AQ86" s="3"/>
    </row>
    <row r="87" spans="2:43" ht="12.75">
      <c r="B87" s="19" t="s">
        <v>52</v>
      </c>
      <c r="D87" s="19" t="s">
        <v>30</v>
      </c>
      <c r="F87" s="20">
        <f>emiss!G60</f>
        <v>13.6</v>
      </c>
      <c r="H87" s="20">
        <f>emiss!I60</f>
        <v>13.5</v>
      </c>
      <c r="J87" s="20">
        <f>emiss!K60</f>
        <v>13.8</v>
      </c>
      <c r="L87" s="22">
        <f>emiss!M60</f>
        <v>13.633333333333333</v>
      </c>
      <c r="M87" s="24"/>
      <c r="N87" s="24"/>
      <c r="O87" s="24"/>
      <c r="P87" s="24"/>
      <c r="Q87" s="24"/>
      <c r="R87" s="24"/>
      <c r="S87" s="24"/>
      <c r="T87" s="22"/>
      <c r="AB87" s="3"/>
      <c r="AJ87" s="3"/>
      <c r="AK87" s="3"/>
      <c r="AL87" s="3"/>
      <c r="AM87" s="3"/>
      <c r="AN87" s="3"/>
      <c r="AO87" s="3"/>
      <c r="AP87" s="3"/>
      <c r="AQ87" s="3"/>
    </row>
    <row r="88" spans="2:43" ht="12.75">
      <c r="B88" s="19" t="s">
        <v>110</v>
      </c>
      <c r="D88" s="19" t="s">
        <v>111</v>
      </c>
      <c r="L88" s="22">
        <f>L86/9000*(21-L87)/21*60</f>
        <v>388.7510828924162</v>
      </c>
      <c r="M88" s="24"/>
      <c r="N88" s="24"/>
      <c r="O88" s="24"/>
      <c r="P88" s="24"/>
      <c r="Q88" s="24"/>
      <c r="R88" s="24"/>
      <c r="S88" s="24"/>
      <c r="T88" s="22"/>
      <c r="AB88" s="3"/>
      <c r="AJ88" s="3"/>
      <c r="AK88" s="3"/>
      <c r="AL88" s="3"/>
      <c r="AM88" s="3"/>
      <c r="AN88" s="3"/>
      <c r="AO88" s="3"/>
      <c r="AP88" s="3"/>
      <c r="AQ88" s="3"/>
    </row>
    <row r="89" spans="13:43" ht="12.75">
      <c r="M89" s="3"/>
      <c r="N89" s="3"/>
      <c r="O89" s="3"/>
      <c r="P89" s="3"/>
      <c r="Q89" s="3"/>
      <c r="R89" s="3"/>
      <c r="S89" s="3"/>
      <c r="T89" s="20"/>
      <c r="AB89" s="3"/>
      <c r="AJ89" s="3"/>
      <c r="AK89" s="3"/>
      <c r="AL89" s="3"/>
      <c r="AM89" s="3"/>
      <c r="AN89" s="3"/>
      <c r="AO89" s="3"/>
      <c r="AP89" s="3"/>
      <c r="AQ89" s="3"/>
    </row>
    <row r="90" spans="1:43" ht="12.75">
      <c r="A90" s="21" t="s">
        <v>179</v>
      </c>
      <c r="B90" s="18" t="s">
        <v>92</v>
      </c>
      <c r="C90" s="18"/>
      <c r="F90" s="3" t="s">
        <v>32</v>
      </c>
      <c r="H90" s="3" t="s">
        <v>32</v>
      </c>
      <c r="J90" s="3" t="s">
        <v>32</v>
      </c>
      <c r="L90" s="3" t="s">
        <v>32</v>
      </c>
      <c r="M90" s="3"/>
      <c r="N90" s="3" t="s">
        <v>32</v>
      </c>
      <c r="O90" s="3"/>
      <c r="P90" s="3"/>
      <c r="Q90" s="3"/>
      <c r="R90" s="3"/>
      <c r="S90" s="3"/>
      <c r="T90" s="20"/>
      <c r="AB90" s="3"/>
      <c r="AJ90" s="3"/>
      <c r="AK90" s="3"/>
      <c r="AL90" s="3"/>
      <c r="AM90" s="3"/>
      <c r="AN90" s="3"/>
      <c r="AO90" s="3"/>
      <c r="AP90" s="3"/>
      <c r="AQ90" s="3"/>
    </row>
    <row r="91" spans="2:43" ht="12.75">
      <c r="B91" s="18"/>
      <c r="C91" s="18"/>
      <c r="M91" s="3"/>
      <c r="N91" s="3"/>
      <c r="O91" s="3"/>
      <c r="P91" s="3"/>
      <c r="Q91" s="3"/>
      <c r="R91" s="3"/>
      <c r="S91" s="3"/>
      <c r="T91" s="20"/>
      <c r="AB91" s="3"/>
      <c r="AJ91" s="3"/>
      <c r="AK91" s="3"/>
      <c r="AL91" s="3"/>
      <c r="AM91" s="3"/>
      <c r="AN91" s="3"/>
      <c r="AO91" s="3"/>
      <c r="AP91" s="3"/>
      <c r="AQ91" s="3"/>
    </row>
    <row r="92" spans="2:43" ht="12.75">
      <c r="B92" s="19" t="s">
        <v>207</v>
      </c>
      <c r="C92" s="18"/>
      <c r="F92" s="3" t="s">
        <v>209</v>
      </c>
      <c r="H92" s="3" t="s">
        <v>211</v>
      </c>
      <c r="J92" s="3" t="s">
        <v>212</v>
      </c>
      <c r="L92" s="20" t="s">
        <v>213</v>
      </c>
      <c r="M92" s="3"/>
      <c r="N92" s="3" t="s">
        <v>214</v>
      </c>
      <c r="O92" s="3"/>
      <c r="P92" s="3"/>
      <c r="Q92" s="3"/>
      <c r="R92" s="3"/>
      <c r="S92" s="3"/>
      <c r="T92" s="20"/>
      <c r="AB92" s="3"/>
      <c r="AJ92" s="3"/>
      <c r="AK92" s="3"/>
      <c r="AL92" s="3"/>
      <c r="AM92" s="3"/>
      <c r="AN92" s="3"/>
      <c r="AO92" s="3"/>
      <c r="AP92" s="3"/>
      <c r="AQ92" s="3"/>
    </row>
    <row r="93" spans="2:43" ht="12.75">
      <c r="B93" s="19" t="s">
        <v>208</v>
      </c>
      <c r="C93" s="18"/>
      <c r="F93" s="3" t="s">
        <v>210</v>
      </c>
      <c r="H93" s="3" t="s">
        <v>210</v>
      </c>
      <c r="J93" s="3" t="s">
        <v>210</v>
      </c>
      <c r="L93" s="3" t="s">
        <v>210</v>
      </c>
      <c r="M93" s="3"/>
      <c r="N93" s="20" t="s">
        <v>33</v>
      </c>
      <c r="O93" s="3"/>
      <c r="P93" s="3"/>
      <c r="Q93" s="3"/>
      <c r="R93" s="3"/>
      <c r="S93" s="3"/>
      <c r="T93" s="20"/>
      <c r="AB93" s="3"/>
      <c r="AJ93" s="3"/>
      <c r="AK93" s="3"/>
      <c r="AL93" s="3"/>
      <c r="AM93" s="3"/>
      <c r="AN93" s="3"/>
      <c r="AO93" s="3"/>
      <c r="AP93" s="3"/>
      <c r="AQ93" s="3"/>
    </row>
    <row r="94" spans="2:43" ht="12.75">
      <c r="B94" s="19" t="s">
        <v>215</v>
      </c>
      <c r="C94" s="18"/>
      <c r="F94" s="3" t="s">
        <v>115</v>
      </c>
      <c r="H94" s="3" t="s">
        <v>115</v>
      </c>
      <c r="J94" s="3" t="s">
        <v>115</v>
      </c>
      <c r="L94" s="3" t="s">
        <v>115</v>
      </c>
      <c r="M94" s="3"/>
      <c r="N94" s="20" t="s">
        <v>33</v>
      </c>
      <c r="O94" s="3"/>
      <c r="P94" s="3"/>
      <c r="Q94" s="3"/>
      <c r="R94" s="3"/>
      <c r="S94" s="3"/>
      <c r="T94" s="20"/>
      <c r="AB94" s="3"/>
      <c r="AJ94" s="3"/>
      <c r="AK94" s="3"/>
      <c r="AL94" s="3"/>
      <c r="AM94" s="3"/>
      <c r="AN94" s="3"/>
      <c r="AO94" s="3"/>
      <c r="AP94" s="3"/>
      <c r="AQ94" s="3"/>
    </row>
    <row r="95" spans="2:43" ht="12.75">
      <c r="B95" s="19" t="s">
        <v>178</v>
      </c>
      <c r="F95" s="20" t="s">
        <v>93</v>
      </c>
      <c r="H95" s="20" t="s">
        <v>103</v>
      </c>
      <c r="J95" s="3" t="s">
        <v>104</v>
      </c>
      <c r="L95" s="20" t="s">
        <v>105</v>
      </c>
      <c r="M95" s="3"/>
      <c r="N95" s="20" t="s">
        <v>33</v>
      </c>
      <c r="O95" s="3"/>
      <c r="P95" s="3"/>
      <c r="Q95" s="3"/>
      <c r="R95" s="3"/>
      <c r="S95" s="3"/>
      <c r="AD95" s="20"/>
      <c r="AF95" s="20"/>
      <c r="AH95" s="20"/>
      <c r="AK95" s="20"/>
      <c r="AL95" s="20"/>
      <c r="AM95" s="20"/>
      <c r="AN95" s="20"/>
      <c r="AO95" s="20"/>
      <c r="AP95" s="20"/>
      <c r="AQ95" s="20"/>
    </row>
    <row r="96" spans="2:43" ht="12.75">
      <c r="B96" s="19" t="s">
        <v>99</v>
      </c>
      <c r="D96" s="19" t="s">
        <v>100</v>
      </c>
      <c r="F96" s="20">
        <v>1.05</v>
      </c>
      <c r="H96" s="20">
        <v>0.81</v>
      </c>
      <c r="J96" s="20">
        <v>0.93</v>
      </c>
      <c r="L96" s="20">
        <v>1</v>
      </c>
      <c r="M96" s="3"/>
      <c r="N96" s="20"/>
      <c r="O96" s="3"/>
      <c r="P96" s="3"/>
      <c r="Q96" s="3"/>
      <c r="R96" s="3"/>
      <c r="S96" s="3"/>
      <c r="AK96" s="20"/>
      <c r="AL96" s="20"/>
      <c r="AM96" s="20"/>
      <c r="AN96" s="20"/>
      <c r="AO96" s="20"/>
      <c r="AP96" s="20"/>
      <c r="AQ96" s="20"/>
    </row>
    <row r="97" spans="2:43" ht="12.75">
      <c r="B97" s="19" t="s">
        <v>101</v>
      </c>
      <c r="D97" s="19" t="s">
        <v>102</v>
      </c>
      <c r="F97" s="20">
        <v>32.7</v>
      </c>
      <c r="H97" s="20">
        <v>0.65</v>
      </c>
      <c r="J97" s="20">
        <v>164.5</v>
      </c>
      <c r="L97" s="20">
        <v>0.91</v>
      </c>
      <c r="M97" s="3"/>
      <c r="N97" s="20"/>
      <c r="O97" s="3"/>
      <c r="P97" s="3"/>
      <c r="Q97" s="3"/>
      <c r="R97" s="3"/>
      <c r="S97" s="3"/>
      <c r="AK97" s="20"/>
      <c r="AL97" s="20"/>
      <c r="AM97" s="20"/>
      <c r="AN97" s="20"/>
      <c r="AO97" s="20"/>
      <c r="AP97" s="20"/>
      <c r="AQ97" s="20"/>
    </row>
    <row r="98" spans="2:43" ht="12.75">
      <c r="B98" s="19" t="s">
        <v>95</v>
      </c>
      <c r="D98" s="19" t="s">
        <v>96</v>
      </c>
      <c r="F98" s="20">
        <v>9616</v>
      </c>
      <c r="H98" s="20">
        <v>15169</v>
      </c>
      <c r="J98" s="20">
        <v>18666</v>
      </c>
      <c r="L98" s="20">
        <v>84</v>
      </c>
      <c r="M98" s="3"/>
      <c r="N98" s="20"/>
      <c r="O98" s="3"/>
      <c r="P98" s="3"/>
      <c r="Q98" s="3"/>
      <c r="R98" s="3"/>
      <c r="S98" s="3"/>
      <c r="AK98" s="20"/>
      <c r="AL98" s="20"/>
      <c r="AM98" s="20"/>
      <c r="AN98" s="20"/>
      <c r="AO98" s="20"/>
      <c r="AP98" s="20"/>
      <c r="AQ98" s="20"/>
    </row>
    <row r="99" spans="2:43" ht="12.75">
      <c r="B99" s="19" t="s">
        <v>34</v>
      </c>
      <c r="D99" s="19" t="s">
        <v>97</v>
      </c>
      <c r="E99" s="3" t="s">
        <v>36</v>
      </c>
      <c r="F99" s="20">
        <v>0.1</v>
      </c>
      <c r="G99" s="3" t="s">
        <v>36</v>
      </c>
      <c r="H99" s="20">
        <v>0.1</v>
      </c>
      <c r="J99" s="20">
        <v>0.8</v>
      </c>
      <c r="K99" s="3" t="s">
        <v>36</v>
      </c>
      <c r="L99" s="20">
        <v>0.1</v>
      </c>
      <c r="N99" s="20"/>
      <c r="O99" s="3"/>
      <c r="P99" s="3"/>
      <c r="Q99" s="3"/>
      <c r="R99" s="3"/>
      <c r="S99" s="3"/>
      <c r="AK99" s="20"/>
      <c r="AL99" s="20"/>
      <c r="AM99" s="20"/>
      <c r="AN99" s="20"/>
      <c r="AO99" s="20"/>
      <c r="AP99" s="20"/>
      <c r="AQ99" s="20"/>
    </row>
    <row r="100" spans="2:43" ht="12.75">
      <c r="B100" s="19" t="s">
        <v>94</v>
      </c>
      <c r="D100" s="19" t="s">
        <v>98</v>
      </c>
      <c r="E100" s="3" t="s">
        <v>36</v>
      </c>
      <c r="F100" s="20">
        <v>22</v>
      </c>
      <c r="G100" s="3" t="s">
        <v>36</v>
      </c>
      <c r="H100" s="20">
        <v>25</v>
      </c>
      <c r="J100" s="20">
        <v>1.27</v>
      </c>
      <c r="L100" s="20">
        <v>61</v>
      </c>
      <c r="N100" s="20"/>
      <c r="O100" s="3"/>
      <c r="P100" s="3"/>
      <c r="Q100" s="3"/>
      <c r="R100" s="3"/>
      <c r="S100" s="3"/>
      <c r="AK100" s="20"/>
      <c r="AL100" s="20"/>
      <c r="AM100" s="20"/>
      <c r="AN100" s="20"/>
      <c r="AO100" s="20"/>
      <c r="AP100" s="20"/>
      <c r="AQ100" s="20"/>
    </row>
    <row r="101" spans="2:43" ht="12.75">
      <c r="B101" s="19" t="s">
        <v>166</v>
      </c>
      <c r="D101" s="19" t="s">
        <v>43</v>
      </c>
      <c r="F101" s="20"/>
      <c r="H101" s="20"/>
      <c r="J101" s="20"/>
      <c r="N101" s="20">
        <v>0.76</v>
      </c>
      <c r="O101" s="3"/>
      <c r="P101" s="3"/>
      <c r="Q101" s="3"/>
      <c r="R101" s="3"/>
      <c r="S101" s="3"/>
      <c r="AK101" s="20"/>
      <c r="AL101" s="20"/>
      <c r="AM101" s="20"/>
      <c r="AN101" s="20"/>
      <c r="AO101" s="20"/>
      <c r="AP101" s="20"/>
      <c r="AQ101" s="20"/>
    </row>
    <row r="102" spans="2:43" ht="12.75">
      <c r="B102" s="19" t="s">
        <v>173</v>
      </c>
      <c r="D102" s="19" t="s">
        <v>98</v>
      </c>
      <c r="E102" s="3" t="s">
        <v>36</v>
      </c>
      <c r="F102" s="20">
        <v>0.2</v>
      </c>
      <c r="G102" s="3" t="s">
        <v>36</v>
      </c>
      <c r="H102" s="20">
        <v>0.2</v>
      </c>
      <c r="I102" s="3" t="s">
        <v>36</v>
      </c>
      <c r="J102" s="20">
        <v>0.2</v>
      </c>
      <c r="K102" s="3" t="s">
        <v>36</v>
      </c>
      <c r="L102" s="20">
        <v>0.2</v>
      </c>
      <c r="O102" s="3"/>
      <c r="P102" s="3"/>
      <c r="Q102" s="3"/>
      <c r="R102" s="3"/>
      <c r="S102" s="3"/>
      <c r="AK102" s="20"/>
      <c r="AL102" s="20"/>
      <c r="AM102" s="20"/>
      <c r="AN102" s="20"/>
      <c r="AO102" s="20"/>
      <c r="AP102" s="20"/>
      <c r="AQ102" s="20"/>
    </row>
    <row r="103" spans="2:43" ht="12.75">
      <c r="B103" s="19" t="s">
        <v>168</v>
      </c>
      <c r="D103" s="19" t="s">
        <v>98</v>
      </c>
      <c r="E103" s="3" t="s">
        <v>36</v>
      </c>
      <c r="F103" s="20">
        <v>0.02</v>
      </c>
      <c r="G103" s="3" t="s">
        <v>36</v>
      </c>
      <c r="H103" s="20">
        <v>0.01</v>
      </c>
      <c r="I103" s="3" t="s">
        <v>36</v>
      </c>
      <c r="J103" s="20">
        <v>0.02</v>
      </c>
      <c r="K103" s="3" t="s">
        <v>36</v>
      </c>
      <c r="L103" s="20">
        <v>0.02</v>
      </c>
      <c r="O103" s="3"/>
      <c r="P103" s="3"/>
      <c r="Q103" s="3"/>
      <c r="R103" s="3"/>
      <c r="S103" s="3"/>
      <c r="AK103" s="20"/>
      <c r="AL103" s="20"/>
      <c r="AM103" s="20"/>
      <c r="AN103" s="20"/>
      <c r="AO103" s="20"/>
      <c r="AP103" s="20"/>
      <c r="AQ103" s="20"/>
    </row>
    <row r="104" spans="2:43" ht="12.75">
      <c r="B104" s="19" t="s">
        <v>169</v>
      </c>
      <c r="D104" s="19" t="s">
        <v>98</v>
      </c>
      <c r="E104" s="3" t="s">
        <v>36</v>
      </c>
      <c r="F104" s="20">
        <v>0.02</v>
      </c>
      <c r="G104" s="3" t="s">
        <v>36</v>
      </c>
      <c r="H104" s="20">
        <v>0.01</v>
      </c>
      <c r="I104" s="3" t="s">
        <v>36</v>
      </c>
      <c r="J104" s="20">
        <v>0.01</v>
      </c>
      <c r="L104" s="20">
        <v>0.45</v>
      </c>
      <c r="O104" s="3"/>
      <c r="P104" s="3"/>
      <c r="Q104" s="3"/>
      <c r="R104" s="3"/>
      <c r="S104" s="3"/>
      <c r="AK104" s="20"/>
      <c r="AL104" s="20"/>
      <c r="AM104" s="20"/>
      <c r="AN104" s="20"/>
      <c r="AO104" s="20"/>
      <c r="AP104" s="20"/>
      <c r="AQ104" s="20"/>
    </row>
    <row r="105" spans="2:43" ht="12.75">
      <c r="B105" s="19" t="s">
        <v>170</v>
      </c>
      <c r="D105" s="19" t="s">
        <v>98</v>
      </c>
      <c r="E105" s="3" t="s">
        <v>36</v>
      </c>
      <c r="F105" s="20">
        <v>0.01</v>
      </c>
      <c r="G105" s="21" t="s">
        <v>36</v>
      </c>
      <c r="H105" s="21">
        <v>0.01</v>
      </c>
      <c r="I105" s="3" t="s">
        <v>36</v>
      </c>
      <c r="J105" s="20">
        <v>0.01</v>
      </c>
      <c r="K105" s="3" t="s">
        <v>36</v>
      </c>
      <c r="L105" s="20">
        <v>0.01</v>
      </c>
      <c r="AK105" s="20"/>
      <c r="AL105" s="20"/>
      <c r="AM105" s="20"/>
      <c r="AN105" s="20"/>
      <c r="AO105" s="20"/>
      <c r="AP105" s="20"/>
      <c r="AQ105" s="20"/>
    </row>
    <row r="106" spans="2:43" ht="12.75">
      <c r="B106" s="19" t="s">
        <v>176</v>
      </c>
      <c r="D106" s="19" t="s">
        <v>98</v>
      </c>
      <c r="E106" s="3" t="s">
        <v>36</v>
      </c>
      <c r="F106" s="20">
        <v>0.02</v>
      </c>
      <c r="G106" s="21" t="s">
        <v>36</v>
      </c>
      <c r="H106" s="21">
        <v>0.01</v>
      </c>
      <c r="I106" s="3" t="s">
        <v>36</v>
      </c>
      <c r="J106" s="20">
        <v>0.01</v>
      </c>
      <c r="K106" s="3" t="s">
        <v>36</v>
      </c>
      <c r="L106" s="20">
        <v>0.01</v>
      </c>
      <c r="AK106" s="20"/>
      <c r="AL106" s="20"/>
      <c r="AM106" s="20"/>
      <c r="AN106" s="20"/>
      <c r="AO106" s="20"/>
      <c r="AP106" s="20"/>
      <c r="AQ106" s="20"/>
    </row>
    <row r="107" spans="2:43" ht="12.75">
      <c r="B107" s="19" t="s">
        <v>166</v>
      </c>
      <c r="D107" s="19" t="s">
        <v>98</v>
      </c>
      <c r="F107" s="20">
        <v>4.4</v>
      </c>
      <c r="G107" s="21"/>
      <c r="H107" s="21">
        <v>0.27</v>
      </c>
      <c r="J107" s="20">
        <v>0.26</v>
      </c>
      <c r="L107" s="20">
        <v>0.26</v>
      </c>
      <c r="AK107" s="20"/>
      <c r="AL107" s="20"/>
      <c r="AM107" s="20"/>
      <c r="AN107" s="20"/>
      <c r="AO107" s="20"/>
      <c r="AP107" s="20"/>
      <c r="AQ107" s="20"/>
    </row>
    <row r="108" spans="2:43" ht="12.75">
      <c r="B108" s="19" t="s">
        <v>182</v>
      </c>
      <c r="D108" s="19" t="s">
        <v>98</v>
      </c>
      <c r="F108" s="20">
        <v>48.7</v>
      </c>
      <c r="G108" s="21" t="s">
        <v>36</v>
      </c>
      <c r="H108" s="21">
        <v>10</v>
      </c>
      <c r="I108" s="3" t="s">
        <v>36</v>
      </c>
      <c r="J108" s="20">
        <v>10</v>
      </c>
      <c r="K108" s="3" t="s">
        <v>36</v>
      </c>
      <c r="L108" s="20">
        <v>10</v>
      </c>
      <c r="AK108" s="20"/>
      <c r="AL108" s="20"/>
      <c r="AM108" s="20"/>
      <c r="AN108" s="20"/>
      <c r="AO108" s="20"/>
      <c r="AP108" s="20"/>
      <c r="AQ108" s="20"/>
    </row>
    <row r="109" spans="2:43" ht="12.75">
      <c r="B109" s="19" t="s">
        <v>174</v>
      </c>
      <c r="D109" s="19" t="s">
        <v>98</v>
      </c>
      <c r="E109" s="3" t="s">
        <v>36</v>
      </c>
      <c r="F109" s="20">
        <v>0.051</v>
      </c>
      <c r="G109" s="21" t="s">
        <v>36</v>
      </c>
      <c r="H109" s="21">
        <v>0.01</v>
      </c>
      <c r="I109" s="3" t="s">
        <v>36</v>
      </c>
      <c r="J109" s="20">
        <v>0.011</v>
      </c>
      <c r="K109" s="3" t="s">
        <v>36</v>
      </c>
      <c r="L109" s="20">
        <v>0.011</v>
      </c>
      <c r="AK109" s="20"/>
      <c r="AL109" s="20"/>
      <c r="AM109" s="20"/>
      <c r="AN109" s="20"/>
      <c r="AO109" s="20"/>
      <c r="AP109" s="20"/>
      <c r="AQ109" s="20"/>
    </row>
    <row r="110" spans="2:43" ht="12.75">
      <c r="B110" s="19" t="s">
        <v>183</v>
      </c>
      <c r="D110" s="19" t="s">
        <v>98</v>
      </c>
      <c r="E110" s="3" t="s">
        <v>36</v>
      </c>
      <c r="F110" s="20">
        <v>3</v>
      </c>
      <c r="G110" s="21" t="s">
        <v>36</v>
      </c>
      <c r="H110" s="21">
        <v>3</v>
      </c>
      <c r="I110" s="3" t="s">
        <v>36</v>
      </c>
      <c r="J110" s="20">
        <v>3</v>
      </c>
      <c r="K110" s="3" t="s">
        <v>36</v>
      </c>
      <c r="L110" s="20">
        <v>3</v>
      </c>
      <c r="AK110" s="20"/>
      <c r="AL110" s="20"/>
      <c r="AM110" s="20"/>
      <c r="AN110" s="20"/>
      <c r="AO110" s="20"/>
      <c r="AP110" s="20"/>
      <c r="AQ110" s="20"/>
    </row>
    <row r="111" spans="2:43" ht="12.75">
      <c r="B111" s="19" t="s">
        <v>181</v>
      </c>
      <c r="D111" s="19" t="s">
        <v>98</v>
      </c>
      <c r="E111" s="3" t="s">
        <v>36</v>
      </c>
      <c r="F111" s="20">
        <v>0.04</v>
      </c>
      <c r="G111" s="21" t="s">
        <v>36</v>
      </c>
      <c r="H111" s="21">
        <v>0.04</v>
      </c>
      <c r="I111" s="3" t="s">
        <v>36</v>
      </c>
      <c r="J111" s="20">
        <v>0.04</v>
      </c>
      <c r="K111" s="3" t="s">
        <v>36</v>
      </c>
      <c r="L111" s="20">
        <v>0.04</v>
      </c>
      <c r="AK111" s="20"/>
      <c r="AL111" s="20"/>
      <c r="AM111" s="20"/>
      <c r="AN111" s="20"/>
      <c r="AO111" s="20"/>
      <c r="AP111" s="20"/>
      <c r="AQ111" s="20"/>
    </row>
    <row r="112" spans="2:43" ht="12.75">
      <c r="B112" s="19" t="s">
        <v>184</v>
      </c>
      <c r="D112" s="19" t="s">
        <v>98</v>
      </c>
      <c r="E112" s="3" t="s">
        <v>36</v>
      </c>
      <c r="F112" s="20">
        <v>8</v>
      </c>
      <c r="G112" s="21" t="s">
        <v>36</v>
      </c>
      <c r="H112" s="21">
        <v>8</v>
      </c>
      <c r="I112" s="3" t="s">
        <v>36</v>
      </c>
      <c r="J112" s="20">
        <v>8</v>
      </c>
      <c r="K112" s="3" t="s">
        <v>36</v>
      </c>
      <c r="L112" s="20">
        <v>8</v>
      </c>
      <c r="AK112" s="20"/>
      <c r="AL112" s="20"/>
      <c r="AM112" s="20"/>
      <c r="AN112" s="20"/>
      <c r="AO112" s="20"/>
      <c r="AP112" s="20"/>
      <c r="AQ112" s="20"/>
    </row>
    <row r="113" spans="2:43" ht="12.75">
      <c r="B113" s="19" t="s">
        <v>175</v>
      </c>
      <c r="D113" s="19" t="s">
        <v>98</v>
      </c>
      <c r="F113" s="20">
        <v>1</v>
      </c>
      <c r="G113" s="21"/>
      <c r="H113" s="21">
        <v>0.34</v>
      </c>
      <c r="I113" s="3" t="s">
        <v>36</v>
      </c>
      <c r="J113" s="20">
        <v>0.06</v>
      </c>
      <c r="L113" s="20">
        <v>0.24</v>
      </c>
      <c r="AK113" s="20"/>
      <c r="AL113" s="20"/>
      <c r="AM113" s="20"/>
      <c r="AN113" s="20"/>
      <c r="AO113" s="20"/>
      <c r="AP113" s="20"/>
      <c r="AQ113" s="20"/>
    </row>
    <row r="114" spans="2:43" ht="12.75">
      <c r="B114" s="19" t="s">
        <v>216</v>
      </c>
      <c r="D114" s="19" t="s">
        <v>98</v>
      </c>
      <c r="E114" s="3" t="s">
        <v>36</v>
      </c>
      <c r="F114" s="20">
        <v>0.025</v>
      </c>
      <c r="G114" s="21" t="s">
        <v>36</v>
      </c>
      <c r="H114" s="21">
        <v>0.02</v>
      </c>
      <c r="I114" s="3" t="s">
        <v>36</v>
      </c>
      <c r="J114" s="20">
        <v>0.025</v>
      </c>
      <c r="K114" s="3" t="s">
        <v>36</v>
      </c>
      <c r="L114" s="20">
        <v>0.02</v>
      </c>
      <c r="AK114" s="20"/>
      <c r="AL114" s="20"/>
      <c r="AM114" s="20"/>
      <c r="AN114" s="20"/>
      <c r="AO114" s="20"/>
      <c r="AP114" s="20"/>
      <c r="AQ114" s="20"/>
    </row>
    <row r="115" spans="2:43" ht="12.75">
      <c r="B115" s="19" t="s">
        <v>177</v>
      </c>
      <c r="D115" s="19" t="s">
        <v>98</v>
      </c>
      <c r="E115" s="3" t="s">
        <v>36</v>
      </c>
      <c r="F115" s="20">
        <v>0.02</v>
      </c>
      <c r="G115" s="21" t="s">
        <v>36</v>
      </c>
      <c r="H115" s="21">
        <v>0.01</v>
      </c>
      <c r="I115" s="3" t="s">
        <v>36</v>
      </c>
      <c r="J115" s="20">
        <v>0.01</v>
      </c>
      <c r="K115" s="3" t="s">
        <v>36</v>
      </c>
      <c r="L115" s="20">
        <v>0.01</v>
      </c>
      <c r="AK115" s="20"/>
      <c r="AL115" s="20"/>
      <c r="AM115" s="20"/>
      <c r="AN115" s="20"/>
      <c r="AO115" s="20"/>
      <c r="AP115" s="20"/>
      <c r="AQ115" s="20"/>
    </row>
    <row r="116" spans="2:43" ht="12.75">
      <c r="B116" s="19" t="s">
        <v>172</v>
      </c>
      <c r="D116" s="19" t="s">
        <v>98</v>
      </c>
      <c r="E116" s="3" t="s">
        <v>36</v>
      </c>
      <c r="F116" s="20">
        <v>0.01</v>
      </c>
      <c r="G116" s="21" t="s">
        <v>36</v>
      </c>
      <c r="H116" s="21">
        <v>0.01</v>
      </c>
      <c r="I116" s="3" t="s">
        <v>36</v>
      </c>
      <c r="J116" s="20">
        <v>0.01</v>
      </c>
      <c r="K116" s="3" t="s">
        <v>36</v>
      </c>
      <c r="L116" s="20">
        <v>0.01</v>
      </c>
      <c r="AK116" s="20"/>
      <c r="AL116" s="20"/>
      <c r="AM116" s="20"/>
      <c r="AN116" s="20"/>
      <c r="AO116" s="20"/>
      <c r="AP116" s="20"/>
      <c r="AQ116" s="20"/>
    </row>
    <row r="117" spans="2:43" ht="12.75">
      <c r="B117" s="19" t="s">
        <v>171</v>
      </c>
      <c r="D117" s="19" t="s">
        <v>98</v>
      </c>
      <c r="E117" s="3" t="s">
        <v>36</v>
      </c>
      <c r="F117" s="20">
        <v>10</v>
      </c>
      <c r="G117" s="21" t="s">
        <v>36</v>
      </c>
      <c r="H117" s="21">
        <v>10</v>
      </c>
      <c r="I117" s="3" t="s">
        <v>36</v>
      </c>
      <c r="J117" s="20">
        <v>10</v>
      </c>
      <c r="K117" s="3" t="s">
        <v>36</v>
      </c>
      <c r="L117" s="20">
        <v>10</v>
      </c>
      <c r="AK117" s="20"/>
      <c r="AL117" s="20"/>
      <c r="AM117" s="20"/>
      <c r="AN117" s="20"/>
      <c r="AO117" s="20"/>
      <c r="AP117" s="20"/>
      <c r="AQ117" s="20"/>
    </row>
    <row r="118" spans="6:12" ht="12.75">
      <c r="F118" s="20"/>
      <c r="H118" s="21"/>
      <c r="J118" s="21"/>
      <c r="L118" s="21"/>
    </row>
    <row r="119" spans="2:43" ht="12.75">
      <c r="B119" s="19" t="s">
        <v>112</v>
      </c>
      <c r="D119" s="19" t="s">
        <v>29</v>
      </c>
      <c r="F119" s="20">
        <v>220646.66666666666</v>
      </c>
      <c r="H119" s="20">
        <v>220646.66666666666</v>
      </c>
      <c r="J119" s="20">
        <v>220646.66666666666</v>
      </c>
      <c r="L119" s="20">
        <v>220646.66666666666</v>
      </c>
      <c r="N119" s="20">
        <v>220646.66666666666</v>
      </c>
      <c r="AK119" s="20"/>
      <c r="AL119" s="20"/>
      <c r="AM119" s="20"/>
      <c r="AN119" s="20"/>
      <c r="AO119" s="20"/>
      <c r="AP119" s="20"/>
      <c r="AQ119" s="20"/>
    </row>
    <row r="120" spans="2:43" ht="12.75">
      <c r="B120" s="19" t="s">
        <v>52</v>
      </c>
      <c r="D120" s="19" t="s">
        <v>30</v>
      </c>
      <c r="F120" s="20">
        <v>6.5</v>
      </c>
      <c r="H120" s="20">
        <v>6.5</v>
      </c>
      <c r="J120" s="20">
        <v>6.5</v>
      </c>
      <c r="L120" s="20">
        <v>6.5</v>
      </c>
      <c r="N120" s="20">
        <v>6.5</v>
      </c>
      <c r="AK120" s="20"/>
      <c r="AL120" s="20"/>
      <c r="AM120" s="20"/>
      <c r="AN120" s="20"/>
      <c r="AO120" s="20"/>
      <c r="AP120" s="20"/>
      <c r="AQ120" s="20"/>
    </row>
    <row r="121" spans="6:43" ht="12.75">
      <c r="F121" s="20"/>
      <c r="H121" s="20"/>
      <c r="J121" s="20"/>
      <c r="N121" s="20"/>
      <c r="AK121" s="20"/>
      <c r="AL121" s="20"/>
      <c r="AM121" s="20"/>
      <c r="AN121" s="20"/>
      <c r="AO121" s="20"/>
      <c r="AP121" s="20"/>
      <c r="AQ121" s="20"/>
    </row>
    <row r="122" ht="12.75">
      <c r="C122" s="19" t="s">
        <v>123</v>
      </c>
    </row>
    <row r="123" spans="2:4" ht="12.75">
      <c r="B123" s="19" t="s">
        <v>180</v>
      </c>
      <c r="D123" s="19" t="s">
        <v>111</v>
      </c>
    </row>
    <row r="124" spans="2:14" ht="12.75">
      <c r="B124" s="19" t="s">
        <v>110</v>
      </c>
      <c r="D124" s="19" t="s">
        <v>111</v>
      </c>
      <c r="N124" s="25">
        <f>N119/9000*(21-N120)/21*60</f>
        <v>1015.6751322751323</v>
      </c>
    </row>
    <row r="125" spans="2:5" ht="12.75">
      <c r="B125" s="19" t="s">
        <v>34</v>
      </c>
      <c r="D125" s="19" t="s">
        <v>109</v>
      </c>
      <c r="E125" s="3" t="s">
        <v>36</v>
      </c>
    </row>
    <row r="126" spans="2:5" ht="12.75">
      <c r="B126" s="19" t="s">
        <v>94</v>
      </c>
      <c r="D126" s="19" t="s">
        <v>56</v>
      </c>
      <c r="E126" s="3" t="s">
        <v>36</v>
      </c>
    </row>
    <row r="127" spans="2:4" ht="12.75">
      <c r="B127" s="19" t="s">
        <v>166</v>
      </c>
      <c r="D127" s="19" t="s">
        <v>56</v>
      </c>
    </row>
    <row r="128" spans="2:5" ht="12.75">
      <c r="B128" s="19" t="s">
        <v>173</v>
      </c>
      <c r="D128" s="19" t="s">
        <v>56</v>
      </c>
      <c r="E128" s="3" t="s">
        <v>36</v>
      </c>
    </row>
    <row r="129" spans="2:5" ht="12.75">
      <c r="B129" s="19" t="s">
        <v>168</v>
      </c>
      <c r="D129" s="19" t="s">
        <v>56</v>
      </c>
      <c r="E129" s="3" t="s">
        <v>36</v>
      </c>
    </row>
    <row r="130" spans="2:5" ht="12.75">
      <c r="B130" s="19" t="s">
        <v>169</v>
      </c>
      <c r="D130" s="19" t="s">
        <v>56</v>
      </c>
      <c r="E130" s="3" t="s">
        <v>36</v>
      </c>
    </row>
    <row r="131" spans="2:5" ht="12.75">
      <c r="B131" s="19" t="s">
        <v>170</v>
      </c>
      <c r="D131" s="19" t="s">
        <v>56</v>
      </c>
      <c r="E131" s="3" t="s">
        <v>36</v>
      </c>
    </row>
    <row r="132" spans="2:5" ht="12.75">
      <c r="B132" s="19" t="s">
        <v>176</v>
      </c>
      <c r="D132" s="19" t="s">
        <v>56</v>
      </c>
      <c r="E132" s="3" t="s">
        <v>36</v>
      </c>
    </row>
    <row r="133" spans="2:4" ht="12.75">
      <c r="B133" s="19" t="s">
        <v>166</v>
      </c>
      <c r="D133" s="19" t="s">
        <v>56</v>
      </c>
    </row>
    <row r="134" spans="2:4" ht="12.75">
      <c r="B134" s="19" t="s">
        <v>182</v>
      </c>
      <c r="D134" s="19" t="s">
        <v>56</v>
      </c>
    </row>
    <row r="135" spans="2:5" ht="12.75">
      <c r="B135" s="19" t="s">
        <v>174</v>
      </c>
      <c r="D135" s="19" t="s">
        <v>56</v>
      </c>
      <c r="E135" s="3" t="s">
        <v>36</v>
      </c>
    </row>
    <row r="136" spans="2:5" ht="12.75">
      <c r="B136" s="19" t="s">
        <v>183</v>
      </c>
      <c r="D136" s="19" t="s">
        <v>56</v>
      </c>
      <c r="E136" s="3" t="s">
        <v>36</v>
      </c>
    </row>
    <row r="137" spans="2:5" ht="12.75">
      <c r="B137" s="19" t="s">
        <v>181</v>
      </c>
      <c r="D137" s="19" t="s">
        <v>56</v>
      </c>
      <c r="E137" s="3" t="s">
        <v>36</v>
      </c>
    </row>
    <row r="138" spans="2:5" ht="12.75">
      <c r="B138" s="19" t="s">
        <v>184</v>
      </c>
      <c r="D138" s="19" t="s">
        <v>56</v>
      </c>
      <c r="E138" s="3" t="s">
        <v>36</v>
      </c>
    </row>
    <row r="139" spans="2:4" ht="12.75">
      <c r="B139" s="19" t="s">
        <v>175</v>
      </c>
      <c r="D139" s="19" t="s">
        <v>56</v>
      </c>
    </row>
    <row r="140" spans="2:5" ht="12.75">
      <c r="B140" s="19" t="s">
        <v>216</v>
      </c>
      <c r="D140" s="19" t="s">
        <v>56</v>
      </c>
      <c r="E140" s="3" t="s">
        <v>36</v>
      </c>
    </row>
    <row r="141" spans="2:5" ht="12.75">
      <c r="B141" s="19" t="s">
        <v>177</v>
      </c>
      <c r="D141" s="19" t="s">
        <v>56</v>
      </c>
      <c r="E141" s="3" t="s">
        <v>36</v>
      </c>
    </row>
    <row r="142" spans="2:5" ht="12.75">
      <c r="B142" s="19" t="s">
        <v>172</v>
      </c>
      <c r="D142" s="19" t="s">
        <v>56</v>
      </c>
      <c r="E142" s="3" t="s">
        <v>36</v>
      </c>
    </row>
    <row r="143" spans="2:5" ht="12.75">
      <c r="B143" s="19" t="s">
        <v>171</v>
      </c>
      <c r="D143" s="19" t="s">
        <v>56</v>
      </c>
      <c r="E143" s="3" t="s">
        <v>36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A2" sqref="A2"/>
    </sheetView>
  </sheetViews>
  <sheetFormatPr defaultColWidth="9.140625" defaultRowHeight="12.75"/>
  <cols>
    <col min="1" max="1" width="0.9921875" style="21" customWidth="1"/>
    <col min="2" max="2" width="25.8515625" style="21" customWidth="1"/>
    <col min="3" max="3" width="9.57421875" style="21" customWidth="1"/>
    <col min="4" max="4" width="7.28125" style="21" customWidth="1"/>
    <col min="5" max="5" width="7.421875" style="27" customWidth="1"/>
    <col min="6" max="6" width="8.140625" style="28" customWidth="1"/>
    <col min="7" max="7" width="8.57421875" style="27" customWidth="1"/>
    <col min="8" max="8" width="8.140625" style="28" customWidth="1"/>
    <col min="9" max="9" width="4.28125" style="27" customWidth="1"/>
    <col min="10" max="10" width="7.00390625" style="27" customWidth="1"/>
    <col min="11" max="11" width="8.7109375" style="27" customWidth="1"/>
    <col min="12" max="12" width="8.57421875" style="27" customWidth="1"/>
    <col min="13" max="13" width="8.7109375" style="27" customWidth="1"/>
    <col min="14" max="14" width="4.7109375" style="31" customWidth="1"/>
    <col min="15" max="15" width="7.8515625" style="27" customWidth="1"/>
    <col min="16" max="16" width="10.00390625" style="27" customWidth="1"/>
    <col min="17" max="17" width="8.7109375" style="27" customWidth="1"/>
    <col min="18" max="18" width="10.00390625" style="27" customWidth="1"/>
    <col min="19" max="19" width="7.7109375" style="21" customWidth="1"/>
    <col min="20" max="20" width="7.8515625" style="21" customWidth="1"/>
    <col min="21" max="21" width="7.7109375" style="21" customWidth="1"/>
    <col min="22" max="22" width="7.00390625" style="21" customWidth="1"/>
    <col min="23" max="23" width="7.421875" style="21" customWidth="1"/>
    <col min="24" max="16384" width="10.8515625" style="21" customWidth="1"/>
  </cols>
  <sheetData>
    <row r="1" ht="12.75">
      <c r="A1" s="26" t="s">
        <v>126</v>
      </c>
    </row>
    <row r="2" ht="12.75">
      <c r="A2" s="21" t="s">
        <v>224</v>
      </c>
    </row>
    <row r="3" spans="1:3" ht="12.75">
      <c r="A3" s="21" t="s">
        <v>222</v>
      </c>
      <c r="C3" s="19" t="s">
        <v>223</v>
      </c>
    </row>
    <row r="4" spans="1:18" ht="12.75">
      <c r="A4" s="21" t="s">
        <v>219</v>
      </c>
      <c r="C4" s="19" t="s">
        <v>92</v>
      </c>
      <c r="D4" s="3"/>
      <c r="E4" s="29"/>
      <c r="F4" s="30"/>
      <c r="G4" s="29"/>
      <c r="H4" s="30"/>
      <c r="I4" s="29"/>
      <c r="J4" s="29"/>
      <c r="K4" s="29"/>
      <c r="L4" s="29"/>
      <c r="M4" s="29"/>
      <c r="O4" s="29"/>
      <c r="P4" s="29"/>
      <c r="Q4" s="29"/>
      <c r="R4" s="29"/>
    </row>
    <row r="5" spans="1:4" ht="12.75">
      <c r="A5" s="21" t="s">
        <v>220</v>
      </c>
      <c r="C5" s="19" t="s">
        <v>221</v>
      </c>
      <c r="D5" s="3"/>
    </row>
    <row r="6" spans="3:17" ht="12.75">
      <c r="C6" s="3"/>
      <c r="D6" s="3"/>
      <c r="E6" s="31"/>
      <c r="G6" s="31"/>
      <c r="J6" s="31"/>
      <c r="L6" s="31"/>
      <c r="O6" s="31"/>
      <c r="Q6" s="31"/>
    </row>
    <row r="7" spans="3:18" ht="12.75">
      <c r="C7" s="3" t="s">
        <v>57</v>
      </c>
      <c r="D7" s="3"/>
      <c r="E7" s="32" t="s">
        <v>58</v>
      </c>
      <c r="F7" s="32"/>
      <c r="G7" s="32"/>
      <c r="H7" s="32"/>
      <c r="I7" s="33"/>
      <c r="J7" s="32" t="s">
        <v>59</v>
      </c>
      <c r="K7" s="32"/>
      <c r="L7" s="32"/>
      <c r="M7" s="32"/>
      <c r="N7" s="33"/>
      <c r="O7" s="32" t="s">
        <v>91</v>
      </c>
      <c r="P7" s="32"/>
      <c r="Q7" s="32"/>
      <c r="R7" s="32"/>
    </row>
    <row r="8" spans="3:18" ht="12.75">
      <c r="C8" s="3" t="s">
        <v>60</v>
      </c>
      <c r="E8" s="31" t="s">
        <v>61</v>
      </c>
      <c r="F8" s="30" t="s">
        <v>62</v>
      </c>
      <c r="G8" s="31" t="s">
        <v>61</v>
      </c>
      <c r="H8" s="30" t="s">
        <v>62</v>
      </c>
      <c r="J8" s="31" t="s">
        <v>61</v>
      </c>
      <c r="K8" s="31" t="s">
        <v>63</v>
      </c>
      <c r="L8" s="31" t="s">
        <v>61</v>
      </c>
      <c r="M8" s="31" t="s">
        <v>63</v>
      </c>
      <c r="O8" s="31" t="s">
        <v>61</v>
      </c>
      <c r="P8" s="31" t="s">
        <v>63</v>
      </c>
      <c r="Q8" s="31" t="s">
        <v>61</v>
      </c>
      <c r="R8" s="31" t="s">
        <v>63</v>
      </c>
    </row>
    <row r="9" spans="3:18" ht="12.75">
      <c r="C9" s="3"/>
      <c r="E9" t="s">
        <v>217</v>
      </c>
      <c r="F9" t="s">
        <v>217</v>
      </c>
      <c r="G9" s="31" t="s">
        <v>127</v>
      </c>
      <c r="H9" s="28" t="s">
        <v>127</v>
      </c>
      <c r="J9" t="s">
        <v>217</v>
      </c>
      <c r="K9" t="s">
        <v>217</v>
      </c>
      <c r="L9" s="31" t="s">
        <v>127</v>
      </c>
      <c r="M9" s="30" t="s">
        <v>127</v>
      </c>
      <c r="O9" t="s">
        <v>217</v>
      </c>
      <c r="P9" t="s">
        <v>217</v>
      </c>
      <c r="Q9" s="31" t="s">
        <v>127</v>
      </c>
      <c r="R9" s="30" t="s">
        <v>127</v>
      </c>
    </row>
    <row r="10" ht="13.5" customHeight="1">
      <c r="A10" s="21" t="s">
        <v>82</v>
      </c>
    </row>
    <row r="11" spans="2:18" ht="12.75">
      <c r="B11" s="21" t="s">
        <v>64</v>
      </c>
      <c r="C11" s="3">
        <v>1</v>
      </c>
      <c r="D11" s="3"/>
      <c r="E11" s="28">
        <v>0.002</v>
      </c>
      <c r="F11" s="28">
        <f aca="true" t="shared" si="0" ref="F11:H35">IF(E11="","",E11*$C11)</f>
        <v>0.002</v>
      </c>
      <c r="G11" s="28">
        <f>IF(E11=0,"",IF(D11="nd",E11/2,E11))</f>
        <v>0.002</v>
      </c>
      <c r="H11" s="28">
        <f t="shared" si="0"/>
        <v>0.002</v>
      </c>
      <c r="I11" s="28"/>
      <c r="J11" s="28">
        <v>0.001</v>
      </c>
      <c r="K11" s="28">
        <f>IF(J11="","",J11*$C11)</f>
        <v>0.001</v>
      </c>
      <c r="L11" s="28">
        <f>IF(J11=0,"",IF(I11="nd",J11/2,J11))</f>
        <v>0.001</v>
      </c>
      <c r="M11" s="28">
        <f>IF(L11="","",L11*$C11)</f>
        <v>0.001</v>
      </c>
      <c r="N11" s="30" t="s">
        <v>36</v>
      </c>
      <c r="O11" s="28">
        <v>0.001</v>
      </c>
      <c r="P11" s="28">
        <f>IF(O11="","",O11*$C11)</f>
        <v>0.001</v>
      </c>
      <c r="Q11" s="28">
        <f>IF(O11=0,"",IF(N11="nd",O11/2,O11))</f>
        <v>0.0005</v>
      </c>
      <c r="R11" s="28">
        <f>IF(Q11="","",Q11*$C11)</f>
        <v>0.0005</v>
      </c>
    </row>
    <row r="12" spans="2:18" ht="12.75">
      <c r="B12" s="21" t="s">
        <v>83</v>
      </c>
      <c r="C12" s="3">
        <v>0</v>
      </c>
      <c r="D12" s="3"/>
      <c r="E12" s="28">
        <v>0.034</v>
      </c>
      <c r="F12" s="28">
        <f t="shared" si="0"/>
        <v>0</v>
      </c>
      <c r="G12" s="28">
        <f>IF(E12=0,"",IF(D12="nd",E12/2,E12))</f>
        <v>0.034</v>
      </c>
      <c r="H12" s="28">
        <f t="shared" si="0"/>
        <v>0</v>
      </c>
      <c r="I12" s="28"/>
      <c r="J12" s="28">
        <v>0.033</v>
      </c>
      <c r="K12" s="28">
        <f>IF(J12="","",J12*$C12)</f>
        <v>0</v>
      </c>
      <c r="L12" s="28">
        <f>IF(J12=0,"",IF(I12="nd",J12/2,J12))</f>
        <v>0.033</v>
      </c>
      <c r="M12" s="28">
        <f>IF(L12="","",L12*$C12)</f>
        <v>0</v>
      </c>
      <c r="N12" s="30"/>
      <c r="O12" s="28">
        <v>0.003</v>
      </c>
      <c r="P12" s="28">
        <f>IF(O12="","",O12*$C12)</f>
        <v>0</v>
      </c>
      <c r="Q12" s="28">
        <f>IF(O12=0,"",IF(N12="nd",O12/2,O12))</f>
        <v>0.003</v>
      </c>
      <c r="R12" s="28">
        <f>IF(Q12="","",Q12*$C12)</f>
        <v>0</v>
      </c>
    </row>
    <row r="13" spans="2:18" ht="12.75">
      <c r="B13" s="21" t="s">
        <v>65</v>
      </c>
      <c r="C13" s="3">
        <v>0.5</v>
      </c>
      <c r="D13" s="3"/>
      <c r="E13" s="28">
        <v>0.005</v>
      </c>
      <c r="F13" s="28">
        <f t="shared" si="0"/>
        <v>0.0025</v>
      </c>
      <c r="G13" s="28">
        <f>IF(E13=0,"",IF(D13="nd",E13/2,E13))</f>
        <v>0.005</v>
      </c>
      <c r="H13" s="28">
        <f t="shared" si="0"/>
        <v>0.0025</v>
      </c>
      <c r="I13" s="28"/>
      <c r="J13" s="28">
        <v>0.005</v>
      </c>
      <c r="K13" s="28">
        <f aca="true" t="shared" si="1" ref="K13:M35">IF(J13="","",J13*$C13)</f>
        <v>0.0025</v>
      </c>
      <c r="L13" s="28">
        <f>IF(J13=0,"",IF(I13="nd",J13/2,J13))</f>
        <v>0.005</v>
      </c>
      <c r="M13" s="28">
        <f t="shared" si="1"/>
        <v>0.0025</v>
      </c>
      <c r="N13" s="30" t="s">
        <v>36</v>
      </c>
      <c r="O13" s="28">
        <v>0.001</v>
      </c>
      <c r="P13" s="28">
        <f aca="true" t="shared" si="2" ref="P13:R35">IF(O13="","",O13*$C13)</f>
        <v>0.0005</v>
      </c>
      <c r="Q13" s="28">
        <f>IF(O13=0,"",IF(N13="nd",O13/2,O13))</f>
        <v>0.0005</v>
      </c>
      <c r="R13" s="28">
        <f t="shared" si="2"/>
        <v>0.00025</v>
      </c>
    </row>
    <row r="14" spans="2:18" ht="12.75">
      <c r="B14" s="21" t="s">
        <v>84</v>
      </c>
      <c r="C14" s="3">
        <v>0</v>
      </c>
      <c r="D14" s="3"/>
      <c r="E14" s="28">
        <v>0.051</v>
      </c>
      <c r="F14" s="28">
        <f t="shared" si="0"/>
        <v>0</v>
      </c>
      <c r="G14" s="28">
        <f aca="true" t="shared" si="3" ref="G14:G35">IF(E14=0,"",IF(D14="nd",E14/2,E14))</f>
        <v>0.051</v>
      </c>
      <c r="H14" s="28">
        <f t="shared" si="0"/>
        <v>0</v>
      </c>
      <c r="I14" s="28"/>
      <c r="J14" s="28">
        <v>0.048</v>
      </c>
      <c r="K14" s="28">
        <f t="shared" si="1"/>
        <v>0</v>
      </c>
      <c r="L14" s="28">
        <f aca="true" t="shared" si="4" ref="L14:L35">IF(J14=0,"",IF(I14="nd",J14/2,J14))</f>
        <v>0.048</v>
      </c>
      <c r="M14" s="28">
        <f t="shared" si="1"/>
        <v>0</v>
      </c>
      <c r="N14" s="30"/>
      <c r="O14" s="28">
        <v>0.005</v>
      </c>
      <c r="P14" s="28">
        <f t="shared" si="2"/>
        <v>0</v>
      </c>
      <c r="Q14" s="28">
        <f>IF(O14=0,"",IF(N14="nd",O14/2,O14))</f>
        <v>0.005</v>
      </c>
      <c r="R14" s="28">
        <f t="shared" si="2"/>
        <v>0</v>
      </c>
    </row>
    <row r="15" spans="2:18" ht="12.75">
      <c r="B15" s="21" t="s">
        <v>66</v>
      </c>
      <c r="C15" s="3">
        <v>0.1</v>
      </c>
      <c r="D15" s="3"/>
      <c r="E15" s="28">
        <v>0.005</v>
      </c>
      <c r="F15" s="28">
        <f t="shared" si="0"/>
        <v>0.0005</v>
      </c>
      <c r="G15" s="28">
        <f t="shared" si="3"/>
        <v>0.005</v>
      </c>
      <c r="H15" s="28">
        <f t="shared" si="0"/>
        <v>0.0005</v>
      </c>
      <c r="I15" s="28"/>
      <c r="J15" s="28">
        <v>0.004</v>
      </c>
      <c r="K15" s="28">
        <f t="shared" si="1"/>
        <v>0.0004</v>
      </c>
      <c r="L15" s="28">
        <f t="shared" si="4"/>
        <v>0.004</v>
      </c>
      <c r="M15" s="28">
        <f t="shared" si="1"/>
        <v>0.0004</v>
      </c>
      <c r="N15" s="30" t="s">
        <v>36</v>
      </c>
      <c r="O15" s="28">
        <v>0.002</v>
      </c>
      <c r="P15" s="28">
        <f t="shared" si="2"/>
        <v>0.0002</v>
      </c>
      <c r="Q15" s="28">
        <f>IF(O15=0,"",IF(N15="nd",O15/2,O15))</f>
        <v>0.001</v>
      </c>
      <c r="R15" s="28">
        <f t="shared" si="2"/>
        <v>0.0001</v>
      </c>
    </row>
    <row r="16" spans="2:18" ht="12.75">
      <c r="B16" s="21" t="s">
        <v>67</v>
      </c>
      <c r="C16" s="3">
        <v>0.1</v>
      </c>
      <c r="D16" s="3"/>
      <c r="E16" s="28">
        <v>0.004</v>
      </c>
      <c r="F16" s="28">
        <f t="shared" si="0"/>
        <v>0.0004</v>
      </c>
      <c r="G16" s="28">
        <f t="shared" si="3"/>
        <v>0.004</v>
      </c>
      <c r="H16" s="28">
        <f t="shared" si="0"/>
        <v>0.0004</v>
      </c>
      <c r="I16" s="28"/>
      <c r="J16" s="28">
        <v>0.006</v>
      </c>
      <c r="K16" s="28">
        <f t="shared" si="1"/>
        <v>0.0006000000000000001</v>
      </c>
      <c r="L16" s="28">
        <f t="shared" si="4"/>
        <v>0.006</v>
      </c>
      <c r="M16" s="28">
        <f t="shared" si="1"/>
        <v>0.0006000000000000001</v>
      </c>
      <c r="N16" s="30" t="s">
        <v>36</v>
      </c>
      <c r="O16" s="28">
        <v>0.002</v>
      </c>
      <c r="P16" s="28">
        <f t="shared" si="2"/>
        <v>0.0002</v>
      </c>
      <c r="Q16" s="28">
        <f aca="true" t="shared" si="5" ref="Q16:Q35">IF(O16=0,"",IF(N16="nd",O16/2,O16))</f>
        <v>0.001</v>
      </c>
      <c r="R16" s="28">
        <f t="shared" si="2"/>
        <v>0.0001</v>
      </c>
    </row>
    <row r="17" spans="2:18" ht="12.75">
      <c r="B17" s="21" t="s">
        <v>68</v>
      </c>
      <c r="C17" s="3">
        <v>0.1</v>
      </c>
      <c r="D17" s="3"/>
      <c r="E17" s="28">
        <v>0.003</v>
      </c>
      <c r="F17" s="28">
        <f t="shared" si="0"/>
        <v>0.00030000000000000003</v>
      </c>
      <c r="G17" s="28">
        <f t="shared" si="3"/>
        <v>0.003</v>
      </c>
      <c r="H17" s="28">
        <f t="shared" si="0"/>
        <v>0.00030000000000000003</v>
      </c>
      <c r="I17" s="28"/>
      <c r="J17" s="28">
        <v>0.003</v>
      </c>
      <c r="K17" s="28">
        <f t="shared" si="1"/>
        <v>0.00030000000000000003</v>
      </c>
      <c r="L17" s="28">
        <f t="shared" si="4"/>
        <v>0.003</v>
      </c>
      <c r="M17" s="28">
        <f t="shared" si="1"/>
        <v>0.00030000000000000003</v>
      </c>
      <c r="N17" s="30" t="s">
        <v>36</v>
      </c>
      <c r="O17" s="28">
        <v>0.002</v>
      </c>
      <c r="P17" s="28">
        <f t="shared" si="2"/>
        <v>0.0002</v>
      </c>
      <c r="Q17" s="28">
        <f t="shared" si="5"/>
        <v>0.001</v>
      </c>
      <c r="R17" s="28">
        <f t="shared" si="2"/>
        <v>0.0001</v>
      </c>
    </row>
    <row r="18" spans="2:18" ht="12.75">
      <c r="B18" s="21" t="s">
        <v>85</v>
      </c>
      <c r="C18" s="3">
        <v>0</v>
      </c>
      <c r="D18" s="3"/>
      <c r="E18" s="28">
        <v>0.047</v>
      </c>
      <c r="F18" s="28">
        <f t="shared" si="0"/>
        <v>0</v>
      </c>
      <c r="G18" s="28">
        <f t="shared" si="3"/>
        <v>0.047</v>
      </c>
      <c r="H18" s="28">
        <f t="shared" si="0"/>
        <v>0</v>
      </c>
      <c r="I18" s="28"/>
      <c r="J18" s="28">
        <v>0.045</v>
      </c>
      <c r="K18" s="28">
        <f t="shared" si="1"/>
        <v>0</v>
      </c>
      <c r="L18" s="28">
        <f t="shared" si="4"/>
        <v>0.045</v>
      </c>
      <c r="M18" s="28">
        <f t="shared" si="1"/>
        <v>0</v>
      </c>
      <c r="N18" s="30"/>
      <c r="O18" s="28">
        <v>0.006</v>
      </c>
      <c r="P18" s="28">
        <f t="shared" si="2"/>
        <v>0</v>
      </c>
      <c r="Q18" s="28">
        <f t="shared" si="5"/>
        <v>0.006</v>
      </c>
      <c r="R18" s="28">
        <f t="shared" si="2"/>
        <v>0</v>
      </c>
    </row>
    <row r="19" spans="2:18" ht="12.75">
      <c r="B19" s="21" t="s">
        <v>69</v>
      </c>
      <c r="C19" s="3">
        <v>0.01</v>
      </c>
      <c r="D19" s="3"/>
      <c r="E19" s="28">
        <v>0.014</v>
      </c>
      <c r="F19" s="28">
        <f t="shared" si="0"/>
        <v>0.00014000000000000001</v>
      </c>
      <c r="G19" s="28">
        <f t="shared" si="3"/>
        <v>0.014</v>
      </c>
      <c r="H19" s="28">
        <f t="shared" si="0"/>
        <v>0.00014000000000000001</v>
      </c>
      <c r="I19" s="28"/>
      <c r="J19" s="28">
        <v>0.017</v>
      </c>
      <c r="K19" s="28">
        <f t="shared" si="1"/>
        <v>0.00017</v>
      </c>
      <c r="L19" s="28">
        <f t="shared" si="4"/>
        <v>0.017</v>
      </c>
      <c r="M19" s="28">
        <f t="shared" si="1"/>
        <v>0.00017</v>
      </c>
      <c r="N19" s="30"/>
      <c r="O19" s="28">
        <v>0.004</v>
      </c>
      <c r="P19" s="28">
        <f t="shared" si="2"/>
        <v>4E-05</v>
      </c>
      <c r="Q19" s="28">
        <f t="shared" si="5"/>
        <v>0.004</v>
      </c>
      <c r="R19" s="28">
        <f t="shared" si="2"/>
        <v>4E-05</v>
      </c>
    </row>
    <row r="20" spans="2:18" ht="12.75">
      <c r="B20" s="21" t="s">
        <v>86</v>
      </c>
      <c r="C20" s="3">
        <v>0</v>
      </c>
      <c r="D20" s="3"/>
      <c r="E20" s="28">
        <v>0.025</v>
      </c>
      <c r="F20" s="28">
        <f t="shared" si="0"/>
        <v>0</v>
      </c>
      <c r="G20" s="28">
        <f t="shared" si="3"/>
        <v>0.025</v>
      </c>
      <c r="H20" s="28">
        <f t="shared" si="0"/>
        <v>0</v>
      </c>
      <c r="I20" s="28"/>
      <c r="J20" s="28">
        <v>0.028</v>
      </c>
      <c r="K20" s="28">
        <f t="shared" si="1"/>
        <v>0</v>
      </c>
      <c r="L20" s="28">
        <f t="shared" si="4"/>
        <v>0.028</v>
      </c>
      <c r="M20" s="28">
        <f t="shared" si="1"/>
        <v>0</v>
      </c>
      <c r="N20" s="30"/>
      <c r="O20" s="28">
        <v>0.006</v>
      </c>
      <c r="P20" s="28">
        <f t="shared" si="2"/>
        <v>0</v>
      </c>
      <c r="Q20" s="28">
        <f t="shared" si="5"/>
        <v>0.006</v>
      </c>
      <c r="R20" s="28">
        <f t="shared" si="2"/>
        <v>0</v>
      </c>
    </row>
    <row r="21" spans="2:18" ht="12.75">
      <c r="B21" s="21" t="s">
        <v>70</v>
      </c>
      <c r="C21" s="3">
        <v>0.001</v>
      </c>
      <c r="D21" s="3"/>
      <c r="E21" s="28">
        <v>0.015</v>
      </c>
      <c r="F21" s="28">
        <f t="shared" si="0"/>
        <v>1.5E-05</v>
      </c>
      <c r="G21" s="28">
        <f t="shared" si="3"/>
        <v>0.015</v>
      </c>
      <c r="H21" s="28">
        <f t="shared" si="0"/>
        <v>1.5E-05</v>
      </c>
      <c r="I21" s="28"/>
      <c r="J21" s="28">
        <v>0.016</v>
      </c>
      <c r="K21" s="28">
        <f t="shared" si="1"/>
        <v>1.6E-05</v>
      </c>
      <c r="L21" s="28">
        <f t="shared" si="4"/>
        <v>0.016</v>
      </c>
      <c r="M21" s="28">
        <f t="shared" si="1"/>
        <v>1.6E-05</v>
      </c>
      <c r="N21" s="30"/>
      <c r="O21" s="28">
        <v>0.007</v>
      </c>
      <c r="P21" s="28">
        <f t="shared" si="2"/>
        <v>7E-06</v>
      </c>
      <c r="Q21" s="28">
        <f t="shared" si="5"/>
        <v>0.007</v>
      </c>
      <c r="R21" s="28">
        <f t="shared" si="2"/>
        <v>7E-06</v>
      </c>
    </row>
    <row r="22" spans="2:18" ht="12.75">
      <c r="B22" s="21" t="s">
        <v>71</v>
      </c>
      <c r="C22" s="3">
        <v>0.1</v>
      </c>
      <c r="D22" s="3"/>
      <c r="E22" s="28">
        <v>0.021</v>
      </c>
      <c r="F22" s="28">
        <f t="shared" si="0"/>
        <v>0.0021000000000000003</v>
      </c>
      <c r="G22" s="28">
        <f t="shared" si="3"/>
        <v>0.021</v>
      </c>
      <c r="H22" s="28">
        <f t="shared" si="0"/>
        <v>0.0021000000000000003</v>
      </c>
      <c r="I22" s="28"/>
      <c r="J22" s="28">
        <v>0.017</v>
      </c>
      <c r="K22" s="28">
        <f t="shared" si="1"/>
        <v>0.0017000000000000001</v>
      </c>
      <c r="L22" s="28">
        <f t="shared" si="4"/>
        <v>0.017</v>
      </c>
      <c r="M22" s="28">
        <f t="shared" si="1"/>
        <v>0.0017000000000000001</v>
      </c>
      <c r="N22" s="30"/>
      <c r="O22" s="28">
        <v>0.002</v>
      </c>
      <c r="P22" s="28">
        <f t="shared" si="2"/>
        <v>0.0002</v>
      </c>
      <c r="Q22" s="28">
        <f t="shared" si="5"/>
        <v>0.002</v>
      </c>
      <c r="R22" s="28">
        <f t="shared" si="2"/>
        <v>0.0002</v>
      </c>
    </row>
    <row r="23" spans="2:18" ht="12.75">
      <c r="B23" s="21" t="s">
        <v>87</v>
      </c>
      <c r="C23" s="3">
        <v>0</v>
      </c>
      <c r="D23" s="3"/>
      <c r="E23" s="28">
        <v>0.67</v>
      </c>
      <c r="F23" s="28">
        <f t="shared" si="0"/>
        <v>0</v>
      </c>
      <c r="G23" s="28">
        <f t="shared" si="3"/>
        <v>0.67</v>
      </c>
      <c r="H23" s="28">
        <f t="shared" si="0"/>
        <v>0</v>
      </c>
      <c r="I23" s="28"/>
      <c r="J23" s="28">
        <v>0.527</v>
      </c>
      <c r="K23" s="28">
        <f t="shared" si="1"/>
        <v>0</v>
      </c>
      <c r="L23" s="28">
        <f t="shared" si="4"/>
        <v>0.527</v>
      </c>
      <c r="M23" s="28">
        <f t="shared" si="1"/>
        <v>0</v>
      </c>
      <c r="N23" s="30"/>
      <c r="O23" s="28">
        <v>0.064</v>
      </c>
      <c r="P23" s="28">
        <f t="shared" si="2"/>
        <v>0</v>
      </c>
      <c r="Q23" s="28">
        <f t="shared" si="5"/>
        <v>0.064</v>
      </c>
      <c r="R23" s="28">
        <f t="shared" si="2"/>
        <v>0</v>
      </c>
    </row>
    <row r="24" spans="2:18" ht="12.75">
      <c r="B24" s="21" t="s">
        <v>72</v>
      </c>
      <c r="C24" s="3">
        <v>0.05</v>
      </c>
      <c r="D24" s="3"/>
      <c r="E24" s="28">
        <v>0.031</v>
      </c>
      <c r="F24" s="28">
        <f t="shared" si="0"/>
        <v>0.0015500000000000002</v>
      </c>
      <c r="G24" s="28">
        <f t="shared" si="3"/>
        <v>0.031</v>
      </c>
      <c r="H24" s="28">
        <f t="shared" si="0"/>
        <v>0.0015500000000000002</v>
      </c>
      <c r="I24" s="28"/>
      <c r="J24" s="28">
        <v>0.025</v>
      </c>
      <c r="K24" s="28">
        <f t="shared" si="1"/>
        <v>0.0012500000000000002</v>
      </c>
      <c r="L24" s="28">
        <f t="shared" si="4"/>
        <v>0.025</v>
      </c>
      <c r="M24" s="28">
        <f t="shared" si="1"/>
        <v>0.0012500000000000002</v>
      </c>
      <c r="N24" s="30"/>
      <c r="O24" s="28">
        <v>0.004</v>
      </c>
      <c r="P24" s="28">
        <f t="shared" si="2"/>
        <v>0.0002</v>
      </c>
      <c r="Q24" s="28">
        <f t="shared" si="5"/>
        <v>0.004</v>
      </c>
      <c r="R24" s="28">
        <f t="shared" si="2"/>
        <v>0.0002</v>
      </c>
    </row>
    <row r="25" spans="2:18" ht="12.75">
      <c r="B25" s="21" t="s">
        <v>73</v>
      </c>
      <c r="C25" s="3">
        <v>0.5</v>
      </c>
      <c r="D25" s="3"/>
      <c r="E25" s="28">
        <v>0.047</v>
      </c>
      <c r="F25" s="28">
        <f t="shared" si="0"/>
        <v>0.0235</v>
      </c>
      <c r="G25" s="28">
        <f t="shared" si="3"/>
        <v>0.047</v>
      </c>
      <c r="H25" s="28">
        <f t="shared" si="0"/>
        <v>0.0235</v>
      </c>
      <c r="I25" s="28"/>
      <c r="J25" s="28">
        <v>0.038</v>
      </c>
      <c r="K25" s="28">
        <f t="shared" si="1"/>
        <v>0.019</v>
      </c>
      <c r="L25" s="28">
        <f t="shared" si="4"/>
        <v>0.038</v>
      </c>
      <c r="M25" s="28">
        <f t="shared" si="1"/>
        <v>0.019</v>
      </c>
      <c r="N25" s="30"/>
      <c r="O25" s="28">
        <v>0.006</v>
      </c>
      <c r="P25" s="28">
        <f t="shared" si="2"/>
        <v>0.003</v>
      </c>
      <c r="Q25" s="28">
        <f t="shared" si="5"/>
        <v>0.006</v>
      </c>
      <c r="R25" s="28">
        <f t="shared" si="2"/>
        <v>0.003</v>
      </c>
    </row>
    <row r="26" spans="2:18" ht="12.75">
      <c r="B26" s="21" t="s">
        <v>88</v>
      </c>
      <c r="C26" s="3">
        <v>0</v>
      </c>
      <c r="D26" s="3"/>
      <c r="E26" s="28">
        <v>0.536</v>
      </c>
      <c r="F26" s="28">
        <f t="shared" si="0"/>
        <v>0</v>
      </c>
      <c r="G26" s="28">
        <f t="shared" si="3"/>
        <v>0.536</v>
      </c>
      <c r="H26" s="28">
        <f t="shared" si="0"/>
        <v>0</v>
      </c>
      <c r="I26" s="28"/>
      <c r="J26" s="28">
        <v>0.477</v>
      </c>
      <c r="K26" s="28">
        <f t="shared" si="1"/>
        <v>0</v>
      </c>
      <c r="L26" s="28">
        <f t="shared" si="4"/>
        <v>0.477</v>
      </c>
      <c r="M26" s="28">
        <f t="shared" si="1"/>
        <v>0</v>
      </c>
      <c r="N26" s="30"/>
      <c r="O26" s="28">
        <v>0.073</v>
      </c>
      <c r="P26" s="28">
        <f t="shared" si="2"/>
        <v>0</v>
      </c>
      <c r="Q26" s="28">
        <f t="shared" si="5"/>
        <v>0.073</v>
      </c>
      <c r="R26" s="28">
        <f t="shared" si="2"/>
        <v>0</v>
      </c>
    </row>
    <row r="27" spans="2:18" ht="12.75">
      <c r="B27" s="21" t="s">
        <v>74</v>
      </c>
      <c r="C27" s="3">
        <v>0.1</v>
      </c>
      <c r="D27" s="3"/>
      <c r="E27" s="28">
        <v>0.038</v>
      </c>
      <c r="F27" s="28">
        <f t="shared" si="0"/>
        <v>0.0038</v>
      </c>
      <c r="G27" s="28">
        <f t="shared" si="3"/>
        <v>0.038</v>
      </c>
      <c r="H27" s="28">
        <f t="shared" si="0"/>
        <v>0.0038</v>
      </c>
      <c r="I27" s="28"/>
      <c r="J27" s="28">
        <v>0.035</v>
      </c>
      <c r="K27" s="28">
        <f t="shared" si="1"/>
        <v>0.0035000000000000005</v>
      </c>
      <c r="L27" s="28">
        <f t="shared" si="4"/>
        <v>0.035</v>
      </c>
      <c r="M27" s="28">
        <f t="shared" si="1"/>
        <v>0.0035000000000000005</v>
      </c>
      <c r="N27" s="30"/>
      <c r="O27" s="28">
        <v>0.007</v>
      </c>
      <c r="P27" s="28">
        <f t="shared" si="2"/>
        <v>0.0007000000000000001</v>
      </c>
      <c r="Q27" s="28">
        <f t="shared" si="5"/>
        <v>0.007</v>
      </c>
      <c r="R27" s="28">
        <f t="shared" si="2"/>
        <v>0.0007000000000000001</v>
      </c>
    </row>
    <row r="28" spans="2:18" ht="12.75">
      <c r="B28" s="21" t="s">
        <v>75</v>
      </c>
      <c r="C28" s="3">
        <v>0.1</v>
      </c>
      <c r="D28" s="3"/>
      <c r="E28" s="28">
        <v>0.034</v>
      </c>
      <c r="F28" s="28">
        <f t="shared" si="0"/>
        <v>0.0034000000000000002</v>
      </c>
      <c r="G28" s="28">
        <f t="shared" si="3"/>
        <v>0.034</v>
      </c>
      <c r="H28" s="28">
        <f t="shared" si="0"/>
        <v>0.0034000000000000002</v>
      </c>
      <c r="I28" s="28"/>
      <c r="J28" s="28">
        <v>0.033</v>
      </c>
      <c r="K28" s="28">
        <f t="shared" si="1"/>
        <v>0.0033000000000000004</v>
      </c>
      <c r="L28" s="28">
        <f t="shared" si="4"/>
        <v>0.033</v>
      </c>
      <c r="M28" s="28">
        <f t="shared" si="1"/>
        <v>0.0033000000000000004</v>
      </c>
      <c r="N28" s="30"/>
      <c r="O28" s="28">
        <v>0.005</v>
      </c>
      <c r="P28" s="28">
        <f t="shared" si="2"/>
        <v>0.0005</v>
      </c>
      <c r="Q28" s="28">
        <f t="shared" si="5"/>
        <v>0.005</v>
      </c>
      <c r="R28" s="28">
        <f t="shared" si="2"/>
        <v>0.0005</v>
      </c>
    </row>
    <row r="29" spans="2:18" ht="12.75">
      <c r="B29" s="21" t="s">
        <v>76</v>
      </c>
      <c r="C29" s="3">
        <v>0.1</v>
      </c>
      <c r="D29" s="3"/>
      <c r="E29" s="28">
        <v>0.045</v>
      </c>
      <c r="F29" s="28">
        <f t="shared" si="0"/>
        <v>0.0045</v>
      </c>
      <c r="G29" s="28">
        <f t="shared" si="3"/>
        <v>0.045</v>
      </c>
      <c r="H29" s="28">
        <f t="shared" si="0"/>
        <v>0.0045</v>
      </c>
      <c r="I29" s="28"/>
      <c r="J29" s="28">
        <v>0.038</v>
      </c>
      <c r="K29" s="28">
        <f t="shared" si="1"/>
        <v>0.0038</v>
      </c>
      <c r="L29" s="28">
        <f t="shared" si="4"/>
        <v>0.038</v>
      </c>
      <c r="M29" s="28">
        <f t="shared" si="1"/>
        <v>0.0038</v>
      </c>
      <c r="N29" s="30"/>
      <c r="O29" s="28">
        <v>0.007</v>
      </c>
      <c r="P29" s="28">
        <f t="shared" si="2"/>
        <v>0.0007000000000000001</v>
      </c>
      <c r="Q29" s="28">
        <f t="shared" si="5"/>
        <v>0.007</v>
      </c>
      <c r="R29" s="28">
        <f t="shared" si="2"/>
        <v>0.0007000000000000001</v>
      </c>
    </row>
    <row r="30" spans="2:18" ht="12.75">
      <c r="B30" s="21" t="s">
        <v>77</v>
      </c>
      <c r="C30" s="3">
        <v>0.1</v>
      </c>
      <c r="D30" s="3"/>
      <c r="E30" s="28">
        <v>0.019</v>
      </c>
      <c r="F30" s="28">
        <f t="shared" si="0"/>
        <v>0.0019</v>
      </c>
      <c r="G30" s="28">
        <f t="shared" si="3"/>
        <v>0.019</v>
      </c>
      <c r="H30" s="28">
        <f t="shared" si="0"/>
        <v>0.0019</v>
      </c>
      <c r="I30" s="28"/>
      <c r="J30" s="28">
        <v>0.017</v>
      </c>
      <c r="K30" s="28">
        <f t="shared" si="1"/>
        <v>0.0017000000000000001</v>
      </c>
      <c r="L30" s="28">
        <f t="shared" si="4"/>
        <v>0.017</v>
      </c>
      <c r="M30" s="28">
        <f t="shared" si="1"/>
        <v>0.0017000000000000001</v>
      </c>
      <c r="N30" s="30"/>
      <c r="O30" s="28">
        <v>0.004</v>
      </c>
      <c r="P30" s="28">
        <f t="shared" si="2"/>
        <v>0.0004</v>
      </c>
      <c r="Q30" s="28">
        <f t="shared" si="5"/>
        <v>0.004</v>
      </c>
      <c r="R30" s="28">
        <f t="shared" si="2"/>
        <v>0.0004</v>
      </c>
    </row>
    <row r="31" spans="2:18" ht="12.75">
      <c r="B31" s="21" t="s">
        <v>89</v>
      </c>
      <c r="C31" s="3">
        <v>0</v>
      </c>
      <c r="D31" s="3"/>
      <c r="E31" s="28">
        <v>0.358</v>
      </c>
      <c r="F31" s="28">
        <f t="shared" si="0"/>
        <v>0</v>
      </c>
      <c r="G31" s="28">
        <f t="shared" si="3"/>
        <v>0.358</v>
      </c>
      <c r="H31" s="28">
        <f t="shared" si="0"/>
        <v>0</v>
      </c>
      <c r="I31" s="28"/>
      <c r="J31" s="28">
        <v>0.326</v>
      </c>
      <c r="K31" s="28">
        <f t="shared" si="1"/>
        <v>0</v>
      </c>
      <c r="L31" s="28">
        <f t="shared" si="4"/>
        <v>0.326</v>
      </c>
      <c r="M31" s="28">
        <f t="shared" si="1"/>
        <v>0</v>
      </c>
      <c r="N31" s="30"/>
      <c r="O31" s="28">
        <v>0.062</v>
      </c>
      <c r="P31" s="28">
        <f t="shared" si="2"/>
        <v>0</v>
      </c>
      <c r="Q31" s="28">
        <f t="shared" si="5"/>
        <v>0.062</v>
      </c>
      <c r="R31" s="28">
        <f t="shared" si="2"/>
        <v>0</v>
      </c>
    </row>
    <row r="32" spans="2:18" ht="12.75">
      <c r="B32" s="21" t="s">
        <v>78</v>
      </c>
      <c r="C32" s="3">
        <v>0.01</v>
      </c>
      <c r="D32" s="3"/>
      <c r="E32" s="28">
        <v>0.042</v>
      </c>
      <c r="F32" s="28">
        <f t="shared" si="0"/>
        <v>0.00042</v>
      </c>
      <c r="G32" s="28">
        <f t="shared" si="3"/>
        <v>0.042</v>
      </c>
      <c r="H32" s="28">
        <f t="shared" si="0"/>
        <v>0.00042</v>
      </c>
      <c r="I32" s="28"/>
      <c r="J32" s="28">
        <v>0.043</v>
      </c>
      <c r="K32" s="28">
        <f t="shared" si="1"/>
        <v>0.00043</v>
      </c>
      <c r="L32" s="28">
        <f t="shared" si="4"/>
        <v>0.043</v>
      </c>
      <c r="M32" s="28">
        <f t="shared" si="1"/>
        <v>0.00043</v>
      </c>
      <c r="N32" s="30"/>
      <c r="O32" s="28">
        <v>0.011</v>
      </c>
      <c r="P32" s="28">
        <f t="shared" si="2"/>
        <v>0.00010999999999999999</v>
      </c>
      <c r="Q32" s="28">
        <f t="shared" si="5"/>
        <v>0.011</v>
      </c>
      <c r="R32" s="28">
        <f t="shared" si="2"/>
        <v>0.00010999999999999999</v>
      </c>
    </row>
    <row r="33" spans="2:18" ht="12.75">
      <c r="B33" s="21" t="s">
        <v>79</v>
      </c>
      <c r="C33" s="3">
        <v>0.01</v>
      </c>
      <c r="D33" s="3"/>
      <c r="E33" s="28">
        <v>0.021</v>
      </c>
      <c r="F33" s="28">
        <f t="shared" si="0"/>
        <v>0.00021</v>
      </c>
      <c r="G33" s="28">
        <f t="shared" si="3"/>
        <v>0.021</v>
      </c>
      <c r="H33" s="28">
        <f t="shared" si="0"/>
        <v>0.00021</v>
      </c>
      <c r="I33" s="28"/>
      <c r="J33" s="28">
        <v>0.023</v>
      </c>
      <c r="K33" s="28">
        <f t="shared" si="1"/>
        <v>0.00023</v>
      </c>
      <c r="L33" s="28">
        <f t="shared" si="4"/>
        <v>0.023</v>
      </c>
      <c r="M33" s="28">
        <f t="shared" si="1"/>
        <v>0.00023</v>
      </c>
      <c r="N33" s="30"/>
      <c r="O33" s="28">
        <v>0.005</v>
      </c>
      <c r="P33" s="28">
        <f t="shared" si="2"/>
        <v>5E-05</v>
      </c>
      <c r="Q33" s="28">
        <f t="shared" si="5"/>
        <v>0.005</v>
      </c>
      <c r="R33" s="28">
        <f t="shared" si="2"/>
        <v>5E-05</v>
      </c>
    </row>
    <row r="34" spans="2:18" ht="12.75">
      <c r="B34" s="21" t="s">
        <v>90</v>
      </c>
      <c r="C34" s="3">
        <v>0</v>
      </c>
      <c r="D34" s="3"/>
      <c r="E34" s="28">
        <v>0.107</v>
      </c>
      <c r="F34" s="28">
        <f t="shared" si="0"/>
        <v>0</v>
      </c>
      <c r="G34" s="28">
        <f t="shared" si="3"/>
        <v>0.107</v>
      </c>
      <c r="H34" s="28">
        <f t="shared" si="0"/>
        <v>0</v>
      </c>
      <c r="I34" s="28"/>
      <c r="J34" s="28">
        <v>0.108</v>
      </c>
      <c r="K34" s="28">
        <f t="shared" si="1"/>
        <v>0</v>
      </c>
      <c r="L34" s="28">
        <f t="shared" si="4"/>
        <v>0.108</v>
      </c>
      <c r="M34" s="28">
        <f t="shared" si="1"/>
        <v>0</v>
      </c>
      <c r="N34" s="30"/>
      <c r="O34" s="28">
        <v>0.02</v>
      </c>
      <c r="P34" s="28">
        <f t="shared" si="2"/>
        <v>0</v>
      </c>
      <c r="Q34" s="28">
        <f t="shared" si="5"/>
        <v>0.02</v>
      </c>
      <c r="R34" s="28">
        <f t="shared" si="2"/>
        <v>0</v>
      </c>
    </row>
    <row r="35" spans="2:18" ht="12.75">
      <c r="B35" s="21" t="s">
        <v>80</v>
      </c>
      <c r="C35" s="3">
        <v>0.001</v>
      </c>
      <c r="D35" s="3"/>
      <c r="E35" s="28">
        <v>0.007</v>
      </c>
      <c r="F35" s="28">
        <f t="shared" si="0"/>
        <v>7E-06</v>
      </c>
      <c r="G35" s="28">
        <f t="shared" si="3"/>
        <v>0.007</v>
      </c>
      <c r="H35" s="28">
        <f t="shared" si="0"/>
        <v>7E-06</v>
      </c>
      <c r="I35" s="28"/>
      <c r="J35" s="28">
        <v>0.011</v>
      </c>
      <c r="K35" s="28">
        <f t="shared" si="1"/>
        <v>1.1E-05</v>
      </c>
      <c r="L35" s="28">
        <f t="shared" si="4"/>
        <v>0.011</v>
      </c>
      <c r="M35" s="28">
        <f t="shared" si="1"/>
        <v>1.1E-05</v>
      </c>
      <c r="N35" s="30"/>
      <c r="O35" s="28">
        <v>0.006</v>
      </c>
      <c r="P35" s="28">
        <f t="shared" si="2"/>
        <v>6E-06</v>
      </c>
      <c r="Q35" s="28">
        <f t="shared" si="5"/>
        <v>0.006</v>
      </c>
      <c r="R35" s="28">
        <f t="shared" si="2"/>
        <v>6E-06</v>
      </c>
    </row>
    <row r="36" spans="5:17" ht="12.75">
      <c r="E36" s="34"/>
      <c r="G36" s="34"/>
      <c r="I36" s="34"/>
      <c r="J36" s="34"/>
      <c r="K36" s="34"/>
      <c r="L36" s="34"/>
      <c r="M36" s="34"/>
      <c r="N36" s="37"/>
      <c r="O36" s="34"/>
      <c r="Q36" s="34"/>
    </row>
    <row r="37" spans="2:18" ht="12.75">
      <c r="B37" s="21" t="s">
        <v>81</v>
      </c>
      <c r="C37" s="28"/>
      <c r="D37" s="25">
        <f>(F37-H37)*2/F37*100</f>
        <v>0</v>
      </c>
      <c r="E37" s="28"/>
      <c r="F37" s="35">
        <f>SUM(F11:F35)</f>
        <v>0.047242</v>
      </c>
      <c r="G37" s="35">
        <f>G35+G34+G31+G26+G23+G21+G20+G18+G14+G12</f>
        <v>1.8499999999999996</v>
      </c>
      <c r="H37" s="35">
        <f>SUM(H11:H35)</f>
        <v>0.047242</v>
      </c>
      <c r="I37" s="25">
        <f>(K37-M37)*2/K37*100</f>
        <v>0</v>
      </c>
      <c r="J37" s="28"/>
      <c r="K37" s="35">
        <f>SUM(K11:K35)</f>
        <v>0.039907</v>
      </c>
      <c r="L37" s="35">
        <f>L35+L34+L31+L26+L23+L21+L20+L18+L14+L12</f>
        <v>1.6189999999999998</v>
      </c>
      <c r="M37" s="35">
        <f>SUM(M11:M35)</f>
        <v>0.039907</v>
      </c>
      <c r="N37" s="25">
        <f>(P37-R37)*2/P37*100</f>
        <v>26.207412953949884</v>
      </c>
      <c r="O37" s="28"/>
      <c r="P37" s="35">
        <f>SUM(P11:P35)</f>
        <v>0.008013000000000003</v>
      </c>
      <c r="Q37" s="35">
        <f>Q35+Q34+Q31+Q26+Q23+Q21+Q20+Q18+Q14+Q12</f>
        <v>0.252</v>
      </c>
      <c r="R37" s="35">
        <f>SUM(R11:R35)</f>
        <v>0.0069630000000000004</v>
      </c>
    </row>
    <row r="38" spans="5:17" ht="12.75">
      <c r="E38" s="35"/>
      <c r="G38" s="35"/>
      <c r="I38" s="35"/>
      <c r="J38" s="35"/>
      <c r="K38" s="35"/>
      <c r="L38" s="35"/>
      <c r="M38" s="35"/>
      <c r="N38" s="38"/>
      <c r="O38" s="35"/>
      <c r="Q38" s="35"/>
    </row>
    <row r="39" spans="2:3" ht="12.75">
      <c r="B39" s="21" t="s">
        <v>124</v>
      </c>
      <c r="C39" s="35">
        <f>AVERAGE(H37,M37,R37)</f>
        <v>0.031370666666666665</v>
      </c>
    </row>
    <row r="40" spans="2:18" ht="12.75">
      <c r="B40" s="21" t="s">
        <v>125</v>
      </c>
      <c r="C40" s="34">
        <f>AVERAGE(G37,L37,Q37)</f>
        <v>1.240333333333333</v>
      </c>
      <c r="E40" s="21"/>
      <c r="G40" s="21"/>
      <c r="I40" s="21"/>
      <c r="J40" s="21"/>
      <c r="K40" s="21"/>
      <c r="L40" s="21"/>
      <c r="M40" s="21"/>
      <c r="N40" s="3"/>
      <c r="O40" s="21"/>
      <c r="P40" s="21"/>
      <c r="Q40" s="21"/>
      <c r="R40" s="21"/>
    </row>
    <row r="41" spans="5:18" ht="12.75">
      <c r="E41" s="21"/>
      <c r="G41" s="21"/>
      <c r="I41" s="21"/>
      <c r="J41" s="21"/>
      <c r="K41" s="21"/>
      <c r="L41" s="21"/>
      <c r="M41" s="21"/>
      <c r="N41" s="3"/>
      <c r="O41" s="21"/>
      <c r="P41" s="21"/>
      <c r="Q41" s="21"/>
      <c r="R41" s="21"/>
    </row>
    <row r="42" spans="5:18" ht="12.75">
      <c r="E42" s="21"/>
      <c r="G42" s="21"/>
      <c r="I42" s="21"/>
      <c r="J42" s="21"/>
      <c r="K42" s="21"/>
      <c r="L42" s="21"/>
      <c r="M42" s="21"/>
      <c r="N42" s="3"/>
      <c r="O42" s="21"/>
      <c r="P42" s="21"/>
      <c r="Q42" s="21"/>
      <c r="R42" s="21"/>
    </row>
    <row r="43" spans="5:18" ht="12.75">
      <c r="E43" s="21"/>
      <c r="G43" s="21"/>
      <c r="I43" s="21"/>
      <c r="J43" s="21"/>
      <c r="K43" s="21"/>
      <c r="L43" s="21"/>
      <c r="M43" s="21"/>
      <c r="N43" s="3"/>
      <c r="O43" s="21"/>
      <c r="P43" s="21"/>
      <c r="Q43" s="21"/>
      <c r="R43" s="21"/>
    </row>
    <row r="44" spans="5:18" ht="12.75">
      <c r="E44" s="21"/>
      <c r="G44" s="21"/>
      <c r="I44" s="21"/>
      <c r="J44" s="21"/>
      <c r="K44" s="21"/>
      <c r="L44" s="21"/>
      <c r="M44" s="21"/>
      <c r="N44" s="3"/>
      <c r="O44" s="21"/>
      <c r="P44" s="21"/>
      <c r="Q44" s="21"/>
      <c r="R44" s="21"/>
    </row>
    <row r="45" spans="5:18" ht="12.75">
      <c r="E45" s="21"/>
      <c r="G45" s="21"/>
      <c r="I45" s="21"/>
      <c r="J45" s="21"/>
      <c r="K45" s="21"/>
      <c r="L45" s="21"/>
      <c r="M45" s="21"/>
      <c r="N45" s="3"/>
      <c r="O45" s="21"/>
      <c r="P45" s="21"/>
      <c r="Q45" s="21"/>
      <c r="R45" s="21"/>
    </row>
    <row r="46" spans="5:18" ht="12.75">
      <c r="E46" s="21"/>
      <c r="G46" s="21"/>
      <c r="I46" s="21"/>
      <c r="J46" s="21"/>
      <c r="K46" s="21"/>
      <c r="L46" s="21"/>
      <c r="M46" s="21"/>
      <c r="N46" s="3"/>
      <c r="O46" s="21"/>
      <c r="P46" s="21"/>
      <c r="Q46" s="21"/>
      <c r="R46" s="21"/>
    </row>
    <row r="47" spans="5:18" ht="12.75">
      <c r="E47" s="21"/>
      <c r="G47" s="21"/>
      <c r="I47" s="21"/>
      <c r="J47" s="21"/>
      <c r="K47" s="21"/>
      <c r="L47" s="21"/>
      <c r="M47" s="21"/>
      <c r="N47" s="3"/>
      <c r="O47" s="21"/>
      <c r="P47" s="21"/>
      <c r="Q47" s="21"/>
      <c r="R47" s="21"/>
    </row>
    <row r="48" spans="5:18" ht="12.75">
      <c r="E48" s="21"/>
      <c r="G48" s="21"/>
      <c r="I48" s="21"/>
      <c r="J48" s="21"/>
      <c r="K48" s="21"/>
      <c r="L48" s="21"/>
      <c r="M48" s="21"/>
      <c r="N48" s="3"/>
      <c r="O48" s="21"/>
      <c r="P48" s="21"/>
      <c r="Q48" s="21"/>
      <c r="R48" s="21"/>
    </row>
    <row r="49" spans="5:18" ht="12.75">
      <c r="E49" s="21"/>
      <c r="G49" s="21"/>
      <c r="I49" s="21"/>
      <c r="J49" s="21"/>
      <c r="K49" s="21"/>
      <c r="L49" s="21"/>
      <c r="M49" s="21"/>
      <c r="N49" s="3"/>
      <c r="O49" s="21"/>
      <c r="P49" s="21"/>
      <c r="Q49" s="21"/>
      <c r="R49" s="21"/>
    </row>
    <row r="50" spans="5:18" ht="12.75">
      <c r="E50" s="21"/>
      <c r="G50" s="21"/>
      <c r="I50" s="21"/>
      <c r="J50" s="21"/>
      <c r="K50" s="21"/>
      <c r="L50" s="21"/>
      <c r="M50" s="21"/>
      <c r="N50" s="3"/>
      <c r="O50" s="21"/>
      <c r="P50" s="21"/>
      <c r="Q50" s="21"/>
      <c r="R50" s="21"/>
    </row>
    <row r="51" spans="5:18" ht="12.75">
      <c r="E51" s="21"/>
      <c r="G51" s="21"/>
      <c r="I51" s="21"/>
      <c r="J51" s="21"/>
      <c r="K51" s="21"/>
      <c r="L51" s="21"/>
      <c r="M51" s="21"/>
      <c r="N51" s="3"/>
      <c r="O51" s="21"/>
      <c r="P51" s="21"/>
      <c r="Q51" s="21"/>
      <c r="R51" s="21"/>
    </row>
    <row r="52" spans="5:18" ht="12.75">
      <c r="E52" s="21"/>
      <c r="G52" s="21"/>
      <c r="I52" s="21"/>
      <c r="J52" s="21"/>
      <c r="K52" s="21"/>
      <c r="L52" s="21"/>
      <c r="M52" s="21"/>
      <c r="N52" s="3"/>
      <c r="O52" s="21"/>
      <c r="P52" s="21"/>
      <c r="Q52" s="21"/>
      <c r="R52" s="21"/>
    </row>
    <row r="53" spans="5:18" ht="12.75">
      <c r="E53" s="21"/>
      <c r="G53" s="21"/>
      <c r="I53" s="21"/>
      <c r="J53" s="21"/>
      <c r="K53" s="21"/>
      <c r="L53" s="21"/>
      <c r="M53" s="21"/>
      <c r="N53" s="3"/>
      <c r="O53" s="21"/>
      <c r="P53" s="21"/>
      <c r="Q53" s="21"/>
      <c r="R53" s="21"/>
    </row>
    <row r="54" spans="5:18" ht="12.75">
      <c r="E54" s="21"/>
      <c r="G54" s="21"/>
      <c r="I54" s="21"/>
      <c r="J54" s="21"/>
      <c r="K54" s="21"/>
      <c r="L54" s="21"/>
      <c r="M54" s="21"/>
      <c r="N54" s="3"/>
      <c r="O54" s="21"/>
      <c r="P54" s="21"/>
      <c r="Q54" s="21"/>
      <c r="R54" s="21"/>
    </row>
    <row r="55" spans="5:18" ht="12.75">
      <c r="E55" s="21"/>
      <c r="G55" s="21"/>
      <c r="I55" s="21"/>
      <c r="J55" s="21"/>
      <c r="K55" s="21"/>
      <c r="L55" s="21"/>
      <c r="M55" s="21"/>
      <c r="N55" s="3"/>
      <c r="O55" s="21"/>
      <c r="P55" s="21"/>
      <c r="Q55" s="21"/>
      <c r="R55" s="21"/>
    </row>
    <row r="56" spans="5:18" ht="12.75">
      <c r="E56" s="21"/>
      <c r="G56" s="21"/>
      <c r="I56" s="21"/>
      <c r="J56" s="21"/>
      <c r="K56" s="21"/>
      <c r="L56" s="21"/>
      <c r="M56" s="21"/>
      <c r="N56" s="3"/>
      <c r="O56" s="21"/>
      <c r="P56" s="21"/>
      <c r="Q56" s="21"/>
      <c r="R56" s="21"/>
    </row>
    <row r="57" spans="5:18" ht="12.75">
      <c r="E57" s="21"/>
      <c r="G57" s="21"/>
      <c r="I57" s="21"/>
      <c r="J57" s="21"/>
      <c r="K57" s="21"/>
      <c r="L57" s="21"/>
      <c r="M57" s="21"/>
      <c r="N57" s="3"/>
      <c r="O57" s="21"/>
      <c r="P57" s="21"/>
      <c r="Q57" s="21"/>
      <c r="R57" s="21"/>
    </row>
    <row r="58" spans="5:18" ht="12.75">
      <c r="E58" s="21"/>
      <c r="G58" s="21"/>
      <c r="I58" s="21"/>
      <c r="J58" s="21"/>
      <c r="K58" s="21"/>
      <c r="L58" s="21"/>
      <c r="M58" s="21"/>
      <c r="N58" s="3"/>
      <c r="O58" s="21"/>
      <c r="P58" s="21"/>
      <c r="Q58" s="21"/>
      <c r="R58" s="21"/>
    </row>
    <row r="59" spans="5:18" ht="12.75">
      <c r="E59" s="21"/>
      <c r="G59" s="21"/>
      <c r="I59" s="21"/>
      <c r="J59" s="21"/>
      <c r="K59" s="21"/>
      <c r="L59" s="21"/>
      <c r="M59" s="21"/>
      <c r="N59" s="3"/>
      <c r="O59" s="21"/>
      <c r="P59" s="21"/>
      <c r="Q59" s="21"/>
      <c r="R59" s="21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2004-02-24T17:51:28Z</cp:lastPrinted>
  <dcterms:created xsi:type="dcterms:W3CDTF">2000-01-10T00:44:42Z</dcterms:created>
  <dcterms:modified xsi:type="dcterms:W3CDTF">2004-02-24T17:51:53Z</dcterms:modified>
  <cp:category/>
  <cp:version/>
  <cp:contentType/>
  <cp:contentStatus/>
</cp:coreProperties>
</file>