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65" windowWidth="12015" windowHeight="6405" tabRatio="794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<sst xmlns="http://schemas.openxmlformats.org/spreadsheetml/2006/main" count="1347" uniqueCount="193">
  <si>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</si>
  <si>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</si>
  <si>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</si>
  <si>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</si>
  <si>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</si>
  <si>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</si>
  <si>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</si>
  <si>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</si>
  <si>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</si>
  <si>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</si>
  <si>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</si>
  <si>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</si>
  <si>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n</t>
  </si>
  <si>
    <t>nd</t>
  </si>
  <si>
    <t>%</t>
  </si>
  <si>
    <t>y</t>
  </si>
  <si>
    <t>dscfm</t>
  </si>
  <si>
    <t xml:space="preserve"> </t>
  </si>
  <si>
    <t>°F</t>
  </si>
  <si>
    <t>PM</t>
  </si>
  <si>
    <t>gr/dscf</t>
  </si>
  <si>
    <t>HCl</t>
  </si>
  <si>
    <t>Chlorine</t>
  </si>
  <si>
    <t>Total</t>
  </si>
  <si>
    <t>O2</t>
  </si>
  <si>
    <t>Combustor Characteristics</t>
  </si>
  <si>
    <t>ppmv</t>
  </si>
  <si>
    <t>Spike</t>
  </si>
  <si>
    <t>Cl2</t>
  </si>
  <si>
    <t>ug/dscm</t>
  </si>
  <si>
    <t>Cond Avg</t>
  </si>
  <si>
    <t>Stack Gas Flowrate</t>
  </si>
  <si>
    <t>Oxygen</t>
  </si>
  <si>
    <t>MMBtu/hr</t>
  </si>
  <si>
    <t>SVM</t>
  </si>
  <si>
    <t>LVM</t>
  </si>
  <si>
    <t>HW</t>
  </si>
  <si>
    <t>Other</t>
  </si>
  <si>
    <t>Capacity (MMBtu/hr)</t>
  </si>
  <si>
    <t>Supplemental Fuel</t>
  </si>
  <si>
    <t>Haz Waste Description</t>
  </si>
  <si>
    <t xml:space="preserve">    Gas Velocity (ft/sec)</t>
  </si>
  <si>
    <t xml:space="preserve">    Gas Temperature (°F)</t>
  </si>
  <si>
    <t>Feedrate MTEC Calculations</t>
  </si>
  <si>
    <t>Source Description</t>
  </si>
  <si>
    <t>Hazardous Wastes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</si>
  <si>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</si>
  <si>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</si>
  <si>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</si>
  <si>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</si>
  <si>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</si>
  <si>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</si>
  <si>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</si>
  <si>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</si>
  <si>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</si>
  <si>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</si>
  <si>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</si>
  <si>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</si>
  <si>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</si>
  <si>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</si>
  <si>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</si>
  <si>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</si>
  <si>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</si>
  <si>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</si>
  <si>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</si>
  <si>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Feed Rate</t>
  </si>
  <si>
    <t>HWC Burn Status (Date if Terminated)</t>
  </si>
  <si>
    <t>Phase I ID No.</t>
  </si>
  <si>
    <t>Wet, long</t>
  </si>
  <si>
    <t>Y</t>
  </si>
  <si>
    <t>Metals</t>
  </si>
  <si>
    <t>CO (MHRA)</t>
  </si>
  <si>
    <t>HC (MHRA)</t>
  </si>
  <si>
    <t>g/hr</t>
  </si>
  <si>
    <t>Raw Matl</t>
  </si>
  <si>
    <t>Coal</t>
  </si>
  <si>
    <t>R1</t>
  </si>
  <si>
    <t>R2</t>
  </si>
  <si>
    <t>R3</t>
  </si>
  <si>
    <t>Chain Temp</t>
  </si>
  <si>
    <t>F</t>
  </si>
  <si>
    <t>min HRA</t>
  </si>
  <si>
    <t>max HRA</t>
  </si>
  <si>
    <t>Giant Cement</t>
  </si>
  <si>
    <t>Harleyville</t>
  </si>
  <si>
    <t>SC</t>
  </si>
  <si>
    <t>Roy F. Weston</t>
  </si>
  <si>
    <t>R. F. Weston</t>
  </si>
  <si>
    <t>FF</t>
  </si>
  <si>
    <t>Liq</t>
  </si>
  <si>
    <t>Tier I for Hg, Ag, Tl, Sb, and Ba; Tier III for Pb, As, Be, Cd, Cr, Se, Ni</t>
  </si>
  <si>
    <t>mode B</t>
  </si>
  <si>
    <t>mode A</t>
  </si>
  <si>
    <t>HW Liquid</t>
  </si>
  <si>
    <t>FF Inlet Temp</t>
  </si>
  <si>
    <t>FF Pressure Drop</t>
  </si>
  <si>
    <t>in H2O</t>
  </si>
  <si>
    <t>Kiln No. 5</t>
  </si>
  <si>
    <t>Giant Cement Company, BIF Recertification of Compliance, Cement Kin Nos. 2, 3, 4, and 5, November 1998</t>
  </si>
  <si>
    <t>CoC, Min dp on FF</t>
  </si>
  <si>
    <t>CoC, Max operating mode waste feed, temp, prod rate</t>
  </si>
  <si>
    <t>201C10</t>
  </si>
  <si>
    <t>201C11</t>
  </si>
  <si>
    <t>Slag</t>
  </si>
  <si>
    <t>SCD003351699</t>
  </si>
  <si>
    <t>CO, HC, HCl/Cl2, metals (no Hg stack gas), PM</t>
  </si>
  <si>
    <t>PCDD/PCDF measurements not taken during 1998 ReCoC</t>
  </si>
  <si>
    <t>201C1</t>
  </si>
  <si>
    <t>Report Name/Date</t>
  </si>
  <si>
    <t>Report Prepare</t>
  </si>
  <si>
    <t>Testing Firm</t>
  </si>
  <si>
    <t>Cond Descr</t>
  </si>
  <si>
    <t>201C2</t>
  </si>
  <si>
    <t>Stationary Source Sampling Report, Reference No. 10000, Giant Cement, Harleyville, SC, Kiln No. 5 Dust Collector Outlet, January 30, 1991</t>
  </si>
  <si>
    <t>Entropy</t>
  </si>
  <si>
    <t>DRE TEST, also PM, metals, HCl; pre BIF rule</t>
  </si>
  <si>
    <t>201C3</t>
  </si>
  <si>
    <t>Particulate Emission Evaluation No. 5 Kiln Exhaust Duct, Giant Cement Co, Harleyville, SC, Davis and Floyd, June 1989</t>
  </si>
  <si>
    <t>Davis and Flyod</t>
  </si>
  <si>
    <t>Emissions evaluation, pre-BIF</t>
  </si>
  <si>
    <t>R4</t>
  </si>
  <si>
    <t/>
  </si>
  <si>
    <t>R4 outlier</t>
  </si>
  <si>
    <t>Halogens</t>
  </si>
  <si>
    <t>Nickel</t>
  </si>
  <si>
    <t>Selenium</t>
  </si>
  <si>
    <t>Particulate</t>
  </si>
  <si>
    <t>Raw Material</t>
  </si>
  <si>
    <t>Waste</t>
  </si>
  <si>
    <t>Spike A</t>
  </si>
  <si>
    <t>Spike B</t>
  </si>
  <si>
    <t>Spike C</t>
  </si>
  <si>
    <t>Feedrate</t>
  </si>
  <si>
    <t>lb/hr</t>
  </si>
  <si>
    <t>Heating value</t>
  </si>
  <si>
    <t>ppmw</t>
  </si>
  <si>
    <t>no feedrates available from report?</t>
  </si>
  <si>
    <t>Testing Dates</t>
  </si>
  <si>
    <t>Condition Descr</t>
  </si>
  <si>
    <t>Content</t>
  </si>
  <si>
    <t>Sulfur Hexafluoride</t>
  </si>
  <si>
    <t>Certification of Compliance, Giant Cement Co., Boiler and Industrial Furnace Regulations, August 21, 1992; Source Test Report BIF Compliance Program, Giant Resource Recovery Company, Harleyville, SC, August 13, 1992, TRC Project No. 12667-E13</t>
  </si>
  <si>
    <t>Giant Cement / Imagineering</t>
  </si>
  <si>
    <t>TRC Environmental Consultants</t>
  </si>
  <si>
    <t>July 14-19, 1992</t>
  </si>
  <si>
    <t>Combustor Class</t>
  </si>
  <si>
    <t>Combustor Type</t>
  </si>
  <si>
    <t>Fabric filter, Fuller, A/C = 4</t>
  </si>
  <si>
    <t>Condition Description</t>
  </si>
  <si>
    <t>20110</t>
  </si>
  <si>
    <t>Combustion Temperature</t>
  </si>
  <si>
    <t>FF Temperature</t>
  </si>
  <si>
    <t>Stack Gas Emissions 2</t>
  </si>
  <si>
    <t>Stack Gas Emissions 1</t>
  </si>
  <si>
    <t>Feedstreams 1</t>
  </si>
  <si>
    <t>Feedstream 2</t>
  </si>
  <si>
    <t>Process Information 1</t>
  </si>
  <si>
    <t>Process Information 2</t>
  </si>
  <si>
    <t>CoC, MAX HW FEED, SPIKED METAL, SPIKED CHLORINE</t>
  </si>
  <si>
    <t>Feedstream Number</t>
  </si>
  <si>
    <t>Feed Class</t>
  </si>
  <si>
    <t>Liq HW</t>
  </si>
  <si>
    <t>Heating Value</t>
  </si>
  <si>
    <t>E1</t>
  </si>
  <si>
    <t>E2</t>
  </si>
  <si>
    <t>Total Chlorine</t>
  </si>
  <si>
    <t>Cond Dates</t>
  </si>
  <si>
    <t>Number of Sister Facilities</t>
  </si>
  <si>
    <t>APCS Detailed Acronym</t>
  </si>
  <si>
    <t>APCS General Class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</si>
  <si>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</si>
  <si>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</si>
  <si>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</si>
  <si>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</si>
  <si>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</si>
  <si>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</si>
  <si>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</si>
  <si>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</si>
  <si>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June 24 and October 7, 1998</t>
  </si>
  <si>
    <t>October 7-8, 1998</t>
  </si>
  <si>
    <t>Cement Kiln (CK)</t>
  </si>
  <si>
    <t>Feed Class 2</t>
  </si>
  <si>
    <t>RM</t>
  </si>
  <si>
    <t>F1</t>
  </si>
  <si>
    <t>F2</t>
  </si>
  <si>
    <t>F3</t>
  </si>
  <si>
    <t>F4</t>
  </si>
  <si>
    <t>F5</t>
  </si>
  <si>
    <t>F6</t>
  </si>
  <si>
    <t>F7</t>
  </si>
  <si>
    <t>Btu/lb</t>
  </si>
  <si>
    <t>high ND?</t>
  </si>
  <si>
    <t>R1 high ND?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</si>
</sst>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0.00000"/>
    <numFmt numFmtId="169" formatCode="0.0E+00"/>
    <numFmt numFmtId="170" formatCode="0.000000"/>
    <numFmt numFmtId="171" formatCode="0.000E+00"/>
    <numFmt numFmtId="172" formatCode="0E+00"/>
    <numFmt numFmtId="173" formatCode="mm/dd/yy"/>
    <numFmt numFmtId="174" formatCode="0.0000000"/>
    <numFmt numFmtId="175" formatCode="#,##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168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9" sqref="A9"/>
    </sheetView>
  </sheetViews>
  <sheetFormatPr defaultColWidth="9.140625" defaultRowHeight="12.75"/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4" ht="12.75">
      <c r="A4" t="s">
        <v>173</v>
      </c>
    </row>
    <row r="5" ht="12.75">
      <c r="A5" t="s">
        <v>174</v>
      </c>
    </row>
    <row r="6" ht="12.75">
      <c r="A6" t="s">
        <v>175</v>
      </c>
    </row>
    <row r="7" ht="12.75">
      <c r="A7" t="s">
        <v>176</v>
      </c>
    </row>
    <row r="8" ht="12.75">
      <c r="A8" t="s">
        <v>177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B2" sqref="B2"/>
    </sheetView>
  </sheetViews>
  <sheetFormatPr defaultColWidth="9.140625" defaultRowHeight="12.75"/>
  <cols>
    <col min="1" max="1" width="6.00390625" style="9" hidden="1" customWidth="1"/>
    <col min="2" max="2" width="32.7109375" style="9" customWidth="1"/>
    <col min="3" max="3" width="62.8515625" style="9" customWidth="1"/>
    <col min="4" max="16384" width="8.8515625" style="9" customWidth="1"/>
  </cols>
  <sheetData>
    <row r="1" ht="12.75">
      <c r="B1" s="2" t="s">
        <v>44</v>
      </c>
    </row>
    <row r="3" spans="2:3" ht="12.75">
      <c r="B3" s="9" t="s">
        <v>67</v>
      </c>
      <c r="C3" s="14">
        <v>201</v>
      </c>
    </row>
    <row r="4" spans="2:3" ht="12.75">
      <c r="B4" s="9" t="s">
        <v>0</v>
      </c>
      <c r="C4" s="9" t="s">
        <v>104</v>
      </c>
    </row>
    <row r="5" spans="2:3" ht="12.75">
      <c r="B5" s="9" t="s">
        <v>1</v>
      </c>
      <c r="C5" s="9" t="s">
        <v>83</v>
      </c>
    </row>
    <row r="6" ht="12.75">
      <c r="B6" s="9" t="s">
        <v>2</v>
      </c>
    </row>
    <row r="7" spans="2:3" ht="12.75">
      <c r="B7" s="9" t="s">
        <v>3</v>
      </c>
      <c r="C7" s="9" t="s">
        <v>84</v>
      </c>
    </row>
    <row r="8" spans="2:3" ht="12.75">
      <c r="B8" s="9" t="s">
        <v>4</v>
      </c>
      <c r="C8" s="9" t="s">
        <v>85</v>
      </c>
    </row>
    <row r="9" spans="2:3" ht="12.75">
      <c r="B9" s="9" t="s">
        <v>5</v>
      </c>
      <c r="C9" s="9" t="s">
        <v>97</v>
      </c>
    </row>
    <row r="10" ht="12.75">
      <c r="B10" s="9" t="s">
        <v>6</v>
      </c>
    </row>
    <row r="11" spans="2:3" ht="12.75">
      <c r="B11" s="9" t="s">
        <v>167</v>
      </c>
      <c r="C11" s="14">
        <v>0</v>
      </c>
    </row>
    <row r="12" spans="2:3" ht="12.75">
      <c r="B12" s="9" t="s">
        <v>145</v>
      </c>
      <c r="C12" s="9" t="s">
        <v>180</v>
      </c>
    </row>
    <row r="13" spans="2:3" ht="12.75">
      <c r="B13" s="9" t="s">
        <v>146</v>
      </c>
      <c r="C13" s="9" t="s">
        <v>68</v>
      </c>
    </row>
    <row r="14" ht="12.75">
      <c r="B14" s="9" t="s">
        <v>25</v>
      </c>
    </row>
    <row r="15" spans="2:3" ht="12.75">
      <c r="B15" s="9" t="s">
        <v>38</v>
      </c>
      <c r="C15" s="14"/>
    </row>
    <row r="16" spans="2:3" ht="12.75">
      <c r="B16" s="9" t="s">
        <v>168</v>
      </c>
      <c r="C16" s="9" t="s">
        <v>88</v>
      </c>
    </row>
    <row r="17" spans="2:3" ht="12.75">
      <c r="B17" s="9" t="s">
        <v>169</v>
      </c>
      <c r="C17" s="9" t="s">
        <v>88</v>
      </c>
    </row>
    <row r="18" spans="2:3" ht="12.75">
      <c r="B18" s="9" t="s">
        <v>7</v>
      </c>
      <c r="C18" s="9" t="s">
        <v>147</v>
      </c>
    </row>
    <row r="19" spans="2:3" ht="12.75">
      <c r="B19" s="9" t="s">
        <v>45</v>
      </c>
      <c r="C19" s="9" t="s">
        <v>89</v>
      </c>
    </row>
    <row r="20" s="32" customFormat="1" ht="12.75">
      <c r="B20" s="32" t="s">
        <v>40</v>
      </c>
    </row>
    <row r="21" spans="2:3" ht="12.75">
      <c r="B21" s="9" t="s">
        <v>39</v>
      </c>
      <c r="C21" s="9" t="s">
        <v>75</v>
      </c>
    </row>
    <row r="22" ht="12.75" customHeight="1"/>
    <row r="23" ht="12.75">
      <c r="B23" s="9" t="s">
        <v>8</v>
      </c>
    </row>
    <row r="24" spans="2:3" ht="12.75">
      <c r="B24" s="9" t="s">
        <v>9</v>
      </c>
      <c r="C24" s="15">
        <v>9.999512023818896</v>
      </c>
    </row>
    <row r="25" spans="2:3" ht="12.75">
      <c r="B25" s="9" t="s">
        <v>10</v>
      </c>
      <c r="C25" s="15">
        <v>174.99146041666665</v>
      </c>
    </row>
    <row r="26" spans="2:3" ht="12.75">
      <c r="B26" s="9" t="s">
        <v>41</v>
      </c>
      <c r="C26" s="15">
        <v>12.02493191222173</v>
      </c>
    </row>
    <row r="27" spans="2:3" ht="12.75">
      <c r="B27" s="9" t="s">
        <v>42</v>
      </c>
      <c r="C27" s="15">
        <v>425.6375</v>
      </c>
    </row>
    <row r="28" ht="12.75" customHeight="1"/>
    <row r="29" spans="2:3" ht="12.75">
      <c r="B29" s="9" t="s">
        <v>11</v>
      </c>
      <c r="C29" s="9" t="s">
        <v>90</v>
      </c>
    </row>
    <row r="30" spans="2:3" ht="12.75">
      <c r="B30" s="9" t="s">
        <v>66</v>
      </c>
      <c r="C30" s="9" t="s">
        <v>69</v>
      </c>
    </row>
    <row r="31" ht="12.75" customHeight="1"/>
    <row r="49" ht="12.75"/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B1">
      <selection activeCell="B2" sqref="B2"/>
    </sheetView>
  </sheetViews>
  <sheetFormatPr defaultColWidth="9.140625" defaultRowHeight="12.75"/>
  <cols>
    <col min="1" max="1" width="5.00390625" style="0" hidden="1" customWidth="1"/>
    <col min="2" max="2" width="20.28125" style="0" customWidth="1"/>
    <col min="3" max="3" width="72.28125" style="11" customWidth="1"/>
  </cols>
  <sheetData>
    <row r="1" ht="12.75">
      <c r="B1" s="2" t="s">
        <v>148</v>
      </c>
    </row>
    <row r="4" spans="1:2" s="9" customFormat="1" ht="12.75">
      <c r="A4" s="9">
        <v>10</v>
      </c>
      <c r="B4" s="2" t="s">
        <v>101</v>
      </c>
    </row>
    <row r="5" s="9" customFormat="1" ht="12.75"/>
    <row r="6" spans="2:3" s="32" customFormat="1" ht="25.5">
      <c r="B6" s="32" t="s">
        <v>108</v>
      </c>
      <c r="C6" s="32" t="s">
        <v>98</v>
      </c>
    </row>
    <row r="7" spans="2:3" s="9" customFormat="1" ht="12.75">
      <c r="B7" s="9" t="s">
        <v>109</v>
      </c>
      <c r="C7" s="9" t="s">
        <v>86</v>
      </c>
    </row>
    <row r="8" spans="2:3" s="9" customFormat="1" ht="12.75">
      <c r="B8" s="9" t="s">
        <v>110</v>
      </c>
      <c r="C8" s="9" t="s">
        <v>87</v>
      </c>
    </row>
    <row r="9" spans="2:3" s="9" customFormat="1" ht="12.75">
      <c r="B9" s="9" t="s">
        <v>137</v>
      </c>
      <c r="C9" s="16" t="s">
        <v>178</v>
      </c>
    </row>
    <row r="10" spans="2:3" s="9" customFormat="1" ht="12.75">
      <c r="B10" s="9" t="s">
        <v>166</v>
      </c>
      <c r="C10" s="49">
        <v>35947</v>
      </c>
    </row>
    <row r="11" spans="2:3" s="9" customFormat="1" ht="12.75">
      <c r="B11" s="9" t="s">
        <v>138</v>
      </c>
      <c r="C11" s="9" t="s">
        <v>100</v>
      </c>
    </row>
    <row r="12" spans="2:3" s="9" customFormat="1" ht="12.75">
      <c r="B12" s="9" t="s">
        <v>139</v>
      </c>
      <c r="C12" s="9" t="s">
        <v>105</v>
      </c>
    </row>
    <row r="13" s="9" customFormat="1" ht="12.75"/>
    <row r="14" spans="1:2" s="9" customFormat="1" ht="12.75">
      <c r="A14" s="9">
        <v>11</v>
      </c>
      <c r="B14" s="2" t="s">
        <v>102</v>
      </c>
    </row>
    <row r="15" s="9" customFormat="1" ht="12.75"/>
    <row r="16" spans="2:3" s="32" customFormat="1" ht="25.5">
      <c r="B16" s="32" t="s">
        <v>108</v>
      </c>
      <c r="C16" s="32" t="s">
        <v>98</v>
      </c>
    </row>
    <row r="17" spans="2:3" s="9" customFormat="1" ht="12.75">
      <c r="B17" s="9" t="s">
        <v>109</v>
      </c>
      <c r="C17" s="9" t="s">
        <v>86</v>
      </c>
    </row>
    <row r="18" spans="2:3" s="9" customFormat="1" ht="12.75">
      <c r="B18" s="9" t="s">
        <v>110</v>
      </c>
      <c r="C18" s="9" t="s">
        <v>87</v>
      </c>
    </row>
    <row r="19" spans="2:3" s="9" customFormat="1" ht="12.75">
      <c r="B19" s="9" t="s">
        <v>137</v>
      </c>
      <c r="C19" s="16" t="s">
        <v>179</v>
      </c>
    </row>
    <row r="20" spans="2:3" s="9" customFormat="1" ht="12.75">
      <c r="B20" s="9" t="s">
        <v>166</v>
      </c>
      <c r="C20" s="49">
        <v>36069</v>
      </c>
    </row>
    <row r="21" spans="2:3" s="9" customFormat="1" ht="12.75">
      <c r="B21" s="9" t="s">
        <v>138</v>
      </c>
      <c r="C21" s="9" t="s">
        <v>99</v>
      </c>
    </row>
    <row r="22" spans="2:3" s="9" customFormat="1" ht="12.75">
      <c r="B22" s="9" t="s">
        <v>139</v>
      </c>
      <c r="C22" s="9" t="s">
        <v>105</v>
      </c>
    </row>
    <row r="23" ht="12.75">
      <c r="C23"/>
    </row>
    <row r="24" ht="12.75">
      <c r="C24"/>
    </row>
    <row r="25" spans="2:3" ht="12.75">
      <c r="B25" t="s">
        <v>106</v>
      </c>
      <c r="C25"/>
    </row>
    <row r="27" ht="12.75">
      <c r="B27" s="2" t="s">
        <v>107</v>
      </c>
    </row>
    <row r="29" spans="2:3" ht="51">
      <c r="B29" s="38" t="s">
        <v>108</v>
      </c>
      <c r="C29" s="41" t="s">
        <v>141</v>
      </c>
    </row>
    <row r="30" spans="2:3" ht="12.75">
      <c r="B30" t="s">
        <v>109</v>
      </c>
      <c r="C30" s="11" t="s">
        <v>142</v>
      </c>
    </row>
    <row r="31" spans="2:3" ht="12.75">
      <c r="B31" t="s">
        <v>110</v>
      </c>
      <c r="C31" s="11" t="s">
        <v>143</v>
      </c>
    </row>
    <row r="32" spans="1:3" ht="12.75">
      <c r="A32" t="s">
        <v>107</v>
      </c>
      <c r="B32" t="s">
        <v>111</v>
      </c>
      <c r="C32" s="11" t="s">
        <v>158</v>
      </c>
    </row>
    <row r="33" spans="2:5" ht="12.75">
      <c r="B33" s="9" t="s">
        <v>137</v>
      </c>
      <c r="C33" s="11" t="s">
        <v>144</v>
      </c>
      <c r="E33" s="39"/>
    </row>
    <row r="34" spans="2:5" ht="12.75">
      <c r="B34" s="9" t="s">
        <v>166</v>
      </c>
      <c r="C34" s="50">
        <v>33837</v>
      </c>
      <c r="E34" s="39"/>
    </row>
    <row r="35" spans="3:5" ht="12.75">
      <c r="C35" s="40"/>
      <c r="E35" s="39"/>
    </row>
    <row r="36" spans="2:5" ht="12.75">
      <c r="B36" s="2" t="s">
        <v>112</v>
      </c>
      <c r="E36" s="39"/>
    </row>
    <row r="37" ht="12.75">
      <c r="E37" s="39"/>
    </row>
    <row r="38" spans="2:5" ht="25.5">
      <c r="B38" s="38" t="s">
        <v>108</v>
      </c>
      <c r="C38" s="41" t="s">
        <v>113</v>
      </c>
      <c r="E38" s="39"/>
    </row>
    <row r="39" spans="2:5" ht="12.75">
      <c r="B39" t="s">
        <v>109</v>
      </c>
      <c r="C39" s="11" t="s">
        <v>114</v>
      </c>
      <c r="E39" s="39"/>
    </row>
    <row r="40" spans="2:5" ht="12.75">
      <c r="B40" t="s">
        <v>110</v>
      </c>
      <c r="C40" s="11" t="s">
        <v>114</v>
      </c>
      <c r="E40" s="39"/>
    </row>
    <row r="41" spans="1:3" ht="12.75">
      <c r="A41" t="s">
        <v>112</v>
      </c>
      <c r="B41" t="s">
        <v>111</v>
      </c>
      <c r="C41" s="11" t="s">
        <v>115</v>
      </c>
    </row>
    <row r="42" spans="2:5" ht="12.75">
      <c r="B42" s="9" t="s">
        <v>137</v>
      </c>
      <c r="C42" s="51">
        <v>33268</v>
      </c>
      <c r="E42" s="39"/>
    </row>
    <row r="43" spans="2:5" ht="12.75">
      <c r="B43" s="9" t="s">
        <v>166</v>
      </c>
      <c r="C43" s="50">
        <v>33268</v>
      </c>
      <c r="E43" s="39"/>
    </row>
    <row r="44" spans="3:5" ht="12.75">
      <c r="C44" s="40"/>
      <c r="E44" s="39"/>
    </row>
    <row r="45" spans="2:5" ht="12.75">
      <c r="B45" s="2" t="s">
        <v>116</v>
      </c>
      <c r="E45" s="39"/>
    </row>
    <row r="46" ht="12.75">
      <c r="E46" s="39"/>
    </row>
    <row r="47" spans="2:5" ht="25.5">
      <c r="B47" s="38" t="s">
        <v>108</v>
      </c>
      <c r="C47" s="41" t="s">
        <v>117</v>
      </c>
      <c r="E47" s="39"/>
    </row>
    <row r="48" spans="2:5" ht="12.75">
      <c r="B48" t="s">
        <v>109</v>
      </c>
      <c r="C48" s="11" t="s">
        <v>118</v>
      </c>
      <c r="E48" s="39"/>
    </row>
    <row r="49" spans="2:5" ht="12.75">
      <c r="B49" t="s">
        <v>110</v>
      </c>
      <c r="E49" s="39"/>
    </row>
    <row r="50" spans="1:3" ht="12.75">
      <c r="A50" t="s">
        <v>116</v>
      </c>
      <c r="B50" t="s">
        <v>111</v>
      </c>
      <c r="C50" s="11" t="s">
        <v>119</v>
      </c>
    </row>
    <row r="51" spans="2:3" ht="12.75">
      <c r="B51" s="9" t="s">
        <v>137</v>
      </c>
      <c r="C51" s="51">
        <v>32681</v>
      </c>
    </row>
    <row r="52" spans="2:3" ht="12.75">
      <c r="B52" s="9" t="s">
        <v>166</v>
      </c>
      <c r="C52" s="50">
        <v>32681</v>
      </c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B1">
      <selection activeCell="B2" sqref="B2"/>
    </sheetView>
  </sheetViews>
  <sheetFormatPr defaultColWidth="9.140625" defaultRowHeight="12.75"/>
  <cols>
    <col min="1" max="1" width="2.8515625" style="20" hidden="1" customWidth="1"/>
    <col min="2" max="2" width="22.8515625" style="20" customWidth="1"/>
    <col min="3" max="3" width="10.7109375" style="20" customWidth="1"/>
    <col min="4" max="4" width="9.8515625" style="18" customWidth="1"/>
    <col min="5" max="5" width="5.421875" style="18" customWidth="1"/>
    <col min="6" max="6" width="4.8515625" style="19" customWidth="1"/>
    <col min="7" max="7" width="8.8515625" style="20" customWidth="1"/>
    <col min="8" max="8" width="4.8515625" style="19" customWidth="1"/>
    <col min="9" max="9" width="8.8515625" style="20" customWidth="1"/>
    <col min="10" max="10" width="4.421875" style="19" customWidth="1"/>
    <col min="11" max="11" width="9.7109375" style="20" customWidth="1"/>
    <col min="12" max="12" width="4.7109375" style="20" customWidth="1"/>
    <col min="13" max="13" width="10.00390625" style="20" customWidth="1"/>
    <col min="14" max="16384" width="8.8515625" style="20" customWidth="1"/>
  </cols>
  <sheetData>
    <row r="1" spans="2:3" ht="12.75">
      <c r="B1" s="17" t="s">
        <v>153</v>
      </c>
      <c r="C1" s="17"/>
    </row>
    <row r="2" spans="2:3" ht="12.75">
      <c r="B2" s="17"/>
      <c r="C2" s="17"/>
    </row>
    <row r="3" spans="2:12" ht="12.75">
      <c r="B3" s="9"/>
      <c r="C3" s="9"/>
      <c r="G3" s="19"/>
      <c r="I3" s="19"/>
      <c r="K3" s="19"/>
      <c r="L3" s="19"/>
    </row>
    <row r="4" spans="1:13" ht="12.75">
      <c r="A4" s="20">
        <v>10</v>
      </c>
      <c r="B4" s="21" t="s">
        <v>101</v>
      </c>
      <c r="C4" s="18" t="s">
        <v>92</v>
      </c>
      <c r="G4" s="19" t="s">
        <v>76</v>
      </c>
      <c r="I4" s="19" t="s">
        <v>77</v>
      </c>
      <c r="K4" s="19" t="s">
        <v>78</v>
      </c>
      <c r="L4" s="19"/>
      <c r="M4" s="19" t="s">
        <v>30</v>
      </c>
    </row>
    <row r="5" spans="2:11" ht="12.75">
      <c r="B5" s="21"/>
      <c r="C5" s="18"/>
      <c r="G5" s="22"/>
      <c r="I5" s="22"/>
      <c r="K5" s="22"/>
    </row>
    <row r="6" spans="2:13" ht="12.75">
      <c r="B6" s="18" t="s">
        <v>19</v>
      </c>
      <c r="C6" s="18" t="s">
        <v>163</v>
      </c>
      <c r="D6" s="18" t="s">
        <v>20</v>
      </c>
      <c r="E6" s="18" t="s">
        <v>15</v>
      </c>
      <c r="G6">
        <v>0.0021</v>
      </c>
      <c r="H6"/>
      <c r="I6">
        <v>0.0029</v>
      </c>
      <c r="J6"/>
      <c r="K6">
        <v>0.0025</v>
      </c>
      <c r="M6" s="25">
        <f>AVERAGE(K6,I6,G6)</f>
        <v>0.0025</v>
      </c>
    </row>
    <row r="7" spans="2:11" ht="12.75">
      <c r="B7" s="18"/>
      <c r="C7" s="18"/>
      <c r="G7"/>
      <c r="H7"/>
      <c r="I7"/>
      <c r="J7"/>
      <c r="K7"/>
    </row>
    <row r="8" spans="2:13" ht="12.75">
      <c r="B8" s="18" t="s">
        <v>71</v>
      </c>
      <c r="C8" s="18" t="s">
        <v>163</v>
      </c>
      <c r="D8" s="18" t="s">
        <v>26</v>
      </c>
      <c r="E8" s="18" t="s">
        <v>15</v>
      </c>
      <c r="G8">
        <v>770</v>
      </c>
      <c r="H8"/>
      <c r="I8">
        <v>827</v>
      </c>
      <c r="J8"/>
      <c r="K8">
        <v>725</v>
      </c>
      <c r="M8" s="28">
        <f>AVERAGE(K8,I8,G8)</f>
        <v>774</v>
      </c>
    </row>
    <row r="9" spans="2:13" ht="12.75">
      <c r="B9" s="18" t="s">
        <v>72</v>
      </c>
      <c r="C9" s="18" t="s">
        <v>163</v>
      </c>
      <c r="D9" s="18" t="s">
        <v>26</v>
      </c>
      <c r="E9" s="18" t="s">
        <v>15</v>
      </c>
      <c r="G9">
        <v>18.7</v>
      </c>
      <c r="H9"/>
      <c r="I9">
        <v>18</v>
      </c>
      <c r="J9"/>
      <c r="K9">
        <v>16.9</v>
      </c>
      <c r="M9" s="28">
        <f>AVERAGE(K9,I9,G9)</f>
        <v>17.866666666666664</v>
      </c>
    </row>
    <row r="10" spans="2:11" ht="12.75">
      <c r="B10" s="18"/>
      <c r="C10" s="18"/>
      <c r="G10"/>
      <c r="H10"/>
      <c r="I10"/>
      <c r="J10"/>
      <c r="K10"/>
    </row>
    <row r="11" spans="2:11" ht="12.75">
      <c r="B11" s="18" t="s">
        <v>21</v>
      </c>
      <c r="C11" s="18"/>
      <c r="D11" s="18" t="s">
        <v>26</v>
      </c>
      <c r="E11" s="18" t="s">
        <v>12</v>
      </c>
      <c r="G11">
        <v>3.62</v>
      </c>
      <c r="H11"/>
      <c r="I11">
        <v>2.5</v>
      </c>
      <c r="J11"/>
      <c r="K11">
        <v>3.32</v>
      </c>
    </row>
    <row r="12" spans="2:11" ht="12.75">
      <c r="B12" s="18" t="s">
        <v>28</v>
      </c>
      <c r="C12" s="18"/>
      <c r="D12" s="18" t="s">
        <v>26</v>
      </c>
      <c r="E12" s="18" t="s">
        <v>12</v>
      </c>
      <c r="G12">
        <v>0.16</v>
      </c>
      <c r="H12"/>
      <c r="I12">
        <v>0.72</v>
      </c>
      <c r="J12"/>
      <c r="K12">
        <v>0.93</v>
      </c>
    </row>
    <row r="13" spans="2:11" ht="12.75">
      <c r="B13" s="18"/>
      <c r="C13" s="18"/>
      <c r="G13"/>
      <c r="H13"/>
      <c r="I13"/>
      <c r="J13"/>
      <c r="K13"/>
    </row>
    <row r="14" spans="2:13" ht="12.75">
      <c r="B14" s="20" t="s">
        <v>52</v>
      </c>
      <c r="C14" s="18" t="s">
        <v>164</v>
      </c>
      <c r="D14" s="18" t="s">
        <v>29</v>
      </c>
      <c r="E14" s="18" t="s">
        <v>15</v>
      </c>
      <c r="G14">
        <v>0.68</v>
      </c>
      <c r="H14"/>
      <c r="I14">
        <v>1.13</v>
      </c>
      <c r="J14"/>
      <c r="K14">
        <v>1.02</v>
      </c>
      <c r="L14" s="19"/>
      <c r="M14" s="28">
        <f aca="true" t="shared" si="0" ref="M14:M23">AVERAGE(K14,I14,G14)</f>
        <v>0.9433333333333334</v>
      </c>
    </row>
    <row r="15" spans="2:13" ht="12.75">
      <c r="B15" s="20" t="s">
        <v>54</v>
      </c>
      <c r="C15" s="18" t="s">
        <v>164</v>
      </c>
      <c r="D15" s="18" t="s">
        <v>29</v>
      </c>
      <c r="E15" s="18" t="s">
        <v>15</v>
      </c>
      <c r="G15">
        <v>0.05</v>
      </c>
      <c r="H15"/>
      <c r="I15">
        <v>0.06</v>
      </c>
      <c r="J15"/>
      <c r="K15">
        <v>0.06</v>
      </c>
      <c r="L15" s="24"/>
      <c r="M15" s="28">
        <f t="shared" si="0"/>
        <v>0.056666666666666664</v>
      </c>
    </row>
    <row r="16" spans="2:13" ht="12.75">
      <c r="B16" s="20" t="s">
        <v>58</v>
      </c>
      <c r="C16" s="18" t="s">
        <v>164</v>
      </c>
      <c r="D16" s="18" t="s">
        <v>29</v>
      </c>
      <c r="E16" s="18" t="s">
        <v>15</v>
      </c>
      <c r="G16">
        <v>1.37</v>
      </c>
      <c r="H16"/>
      <c r="I16">
        <v>2.03</v>
      </c>
      <c r="J16"/>
      <c r="K16">
        <v>4.69</v>
      </c>
      <c r="L16" s="26"/>
      <c r="M16" s="28">
        <f t="shared" si="0"/>
        <v>2.6966666666666668</v>
      </c>
    </row>
    <row r="17" spans="2:13" ht="12.75">
      <c r="B17" s="20" t="s">
        <v>60</v>
      </c>
      <c r="C17" s="18" t="s">
        <v>164</v>
      </c>
      <c r="D17" s="18" t="s">
        <v>29</v>
      </c>
      <c r="E17" s="18" t="s">
        <v>15</v>
      </c>
      <c r="G17">
        <v>5.29</v>
      </c>
      <c r="H17"/>
      <c r="I17">
        <v>4.59</v>
      </c>
      <c r="J17"/>
      <c r="K17">
        <v>8.16</v>
      </c>
      <c r="L17" s="26"/>
      <c r="M17" s="28">
        <f t="shared" si="0"/>
        <v>6.013333333333333</v>
      </c>
    </row>
    <row r="18" spans="2:13" ht="12.75">
      <c r="B18" s="20" t="s">
        <v>57</v>
      </c>
      <c r="C18" s="18" t="s">
        <v>164</v>
      </c>
      <c r="D18" s="18" t="s">
        <v>29</v>
      </c>
      <c r="E18" s="18" t="s">
        <v>15</v>
      </c>
      <c r="G18">
        <v>21.87</v>
      </c>
      <c r="H18"/>
      <c r="I18">
        <v>21.89</v>
      </c>
      <c r="J18"/>
      <c r="K18">
        <v>18.54</v>
      </c>
      <c r="L18" s="26"/>
      <c r="M18" s="28">
        <f t="shared" si="0"/>
        <v>20.766666666666666</v>
      </c>
    </row>
    <row r="19" spans="2:13" ht="12.75">
      <c r="B19" s="20" t="s">
        <v>124</v>
      </c>
      <c r="C19" s="18" t="s">
        <v>164</v>
      </c>
      <c r="D19" s="18" t="s">
        <v>29</v>
      </c>
      <c r="E19" s="18" t="s">
        <v>15</v>
      </c>
      <c r="G19">
        <v>3.11</v>
      </c>
      <c r="H19"/>
      <c r="I19">
        <v>18.96</v>
      </c>
      <c r="J19"/>
      <c r="K19">
        <v>3.82</v>
      </c>
      <c r="L19" s="26"/>
      <c r="M19" s="28">
        <f t="shared" si="0"/>
        <v>8.63</v>
      </c>
    </row>
    <row r="20" spans="2:13" ht="12.75">
      <c r="B20" s="20" t="s">
        <v>125</v>
      </c>
      <c r="C20" s="18" t="s">
        <v>164</v>
      </c>
      <c r="D20" s="18" t="s">
        <v>29</v>
      </c>
      <c r="E20" s="18" t="s">
        <v>15</v>
      </c>
      <c r="G20">
        <v>33.37</v>
      </c>
      <c r="H20"/>
      <c r="I20">
        <v>12.1</v>
      </c>
      <c r="J20"/>
      <c r="K20">
        <v>10.2</v>
      </c>
      <c r="L20" s="26"/>
      <c r="M20" s="28">
        <f t="shared" si="0"/>
        <v>18.556666666666665</v>
      </c>
    </row>
    <row r="21" spans="7:13" ht="12.75">
      <c r="G21" s="1"/>
      <c r="H21" s="1"/>
      <c r="I21" s="1"/>
      <c r="J21" s="1"/>
      <c r="K21" s="1"/>
      <c r="L21" s="26"/>
      <c r="M21" s="28"/>
    </row>
    <row r="22" spans="2:13" ht="12.75">
      <c r="B22" s="20" t="s">
        <v>35</v>
      </c>
      <c r="C22" s="18" t="s">
        <v>164</v>
      </c>
      <c r="D22" s="18" t="s">
        <v>29</v>
      </c>
      <c r="E22" s="18" t="s">
        <v>15</v>
      </c>
      <c r="G22" s="1">
        <f>G14+G15+G17</f>
        <v>6.0200000000000005</v>
      </c>
      <c r="H22" s="1"/>
      <c r="I22" s="1">
        <f>I14+I15+I17</f>
        <v>5.779999999999999</v>
      </c>
      <c r="J22" s="1"/>
      <c r="K22" s="1">
        <f>K14+K15+K17</f>
        <v>9.24</v>
      </c>
      <c r="L22" s="26"/>
      <c r="M22" s="28">
        <f t="shared" si="0"/>
        <v>7.013333333333333</v>
      </c>
    </row>
    <row r="23" spans="2:13" ht="12.75">
      <c r="B23" s="20" t="s">
        <v>34</v>
      </c>
      <c r="C23" s="18" t="s">
        <v>164</v>
      </c>
      <c r="D23" s="18" t="s">
        <v>29</v>
      </c>
      <c r="E23" s="18" t="s">
        <v>15</v>
      </c>
      <c r="G23" s="1">
        <f>G16+G18</f>
        <v>23.240000000000002</v>
      </c>
      <c r="H23" s="1"/>
      <c r="I23" s="1">
        <f>I16+I18</f>
        <v>23.92</v>
      </c>
      <c r="J23" s="1"/>
      <c r="K23" s="1">
        <f>K16+K18</f>
        <v>23.23</v>
      </c>
      <c r="L23" s="26"/>
      <c r="M23" s="28">
        <f t="shared" si="0"/>
        <v>23.46333333333334</v>
      </c>
    </row>
    <row r="24" spans="7:13" ht="12.75">
      <c r="G24" s="1"/>
      <c r="H24" s="1"/>
      <c r="I24" s="1"/>
      <c r="J24" s="1"/>
      <c r="K24" s="1"/>
      <c r="L24" s="26"/>
      <c r="M24" s="28"/>
    </row>
    <row r="25" spans="2:12" ht="12.75">
      <c r="B25" s="18" t="s">
        <v>51</v>
      </c>
      <c r="C25" s="18" t="s">
        <v>48</v>
      </c>
      <c r="D25" s="18" t="s">
        <v>163</v>
      </c>
      <c r="G25" s="23"/>
      <c r="I25" s="23"/>
      <c r="K25" s="23"/>
      <c r="L25" s="22"/>
    </row>
    <row r="26" spans="2:13" ht="12.75">
      <c r="B26" s="18" t="s">
        <v>47</v>
      </c>
      <c r="C26" s="18"/>
      <c r="D26" s="18" t="s">
        <v>16</v>
      </c>
      <c r="G26">
        <v>59137</v>
      </c>
      <c r="H26"/>
      <c r="I26">
        <v>69121</v>
      </c>
      <c r="J26"/>
      <c r="K26">
        <v>72009</v>
      </c>
      <c r="L26" s="22"/>
      <c r="M26" s="34">
        <f>AVERAGE(G26,I26,K26)</f>
        <v>66755.66666666667</v>
      </c>
    </row>
    <row r="27" spans="2:13" ht="12.75">
      <c r="B27" s="18" t="s">
        <v>49</v>
      </c>
      <c r="C27" s="18"/>
      <c r="D27" s="18" t="s">
        <v>14</v>
      </c>
      <c r="F27" s="19" t="s">
        <v>17</v>
      </c>
      <c r="G27">
        <v>6.6</v>
      </c>
      <c r="H27"/>
      <c r="I27">
        <v>8.2</v>
      </c>
      <c r="J27"/>
      <c r="K27">
        <v>9.1</v>
      </c>
      <c r="L27" s="22"/>
      <c r="M27" s="28">
        <f>AVERAGE(G27,I27,K27)</f>
        <v>7.966666666666666</v>
      </c>
    </row>
    <row r="28" spans="2:13" ht="12.75">
      <c r="B28" s="18" t="s">
        <v>50</v>
      </c>
      <c r="C28" s="18"/>
      <c r="D28" s="18" t="s">
        <v>14</v>
      </c>
      <c r="G28">
        <v>33.4</v>
      </c>
      <c r="H28"/>
      <c r="I28">
        <v>29.1</v>
      </c>
      <c r="J28"/>
      <c r="K28">
        <v>30</v>
      </c>
      <c r="L28" s="22"/>
      <c r="M28" s="28">
        <f>AVERAGE(G28,I28,K28)</f>
        <v>30.833333333333332</v>
      </c>
    </row>
    <row r="29" spans="2:13" ht="12.75">
      <c r="B29" s="18" t="s">
        <v>46</v>
      </c>
      <c r="C29" s="18"/>
      <c r="D29" s="18" t="s">
        <v>18</v>
      </c>
      <c r="G29">
        <v>487</v>
      </c>
      <c r="H29"/>
      <c r="I29">
        <v>514</v>
      </c>
      <c r="J29"/>
      <c r="K29">
        <v>519</v>
      </c>
      <c r="L29" s="22"/>
      <c r="M29" s="28">
        <f>AVERAGE(G29,I29,K29)</f>
        <v>506.6666666666667</v>
      </c>
    </row>
    <row r="30" spans="7:12" ht="12.75">
      <c r="G30"/>
      <c r="H30"/>
      <c r="I30"/>
      <c r="J30"/>
      <c r="K30"/>
      <c r="L30" s="26"/>
    </row>
    <row r="31" spans="2:12" ht="12.75">
      <c r="B31" s="18" t="s">
        <v>51</v>
      </c>
      <c r="C31" s="18" t="s">
        <v>70</v>
      </c>
      <c r="D31" s="18" t="s">
        <v>164</v>
      </c>
      <c r="G31"/>
      <c r="H31"/>
      <c r="I31"/>
      <c r="J31"/>
      <c r="K31"/>
      <c r="L31" s="22"/>
    </row>
    <row r="32" spans="2:13" ht="12.75">
      <c r="B32" s="18" t="s">
        <v>47</v>
      </c>
      <c r="C32" s="18"/>
      <c r="D32" s="18" t="s">
        <v>16</v>
      </c>
      <c r="G32">
        <v>58158</v>
      </c>
      <c r="H32"/>
      <c r="I32">
        <v>70665</v>
      </c>
      <c r="J32"/>
      <c r="K32">
        <v>69215</v>
      </c>
      <c r="L32" s="22"/>
      <c r="M32" s="34">
        <f>AVERAGE(G32,I32,K32)</f>
        <v>66012.66666666667</v>
      </c>
    </row>
    <row r="33" spans="2:13" ht="12.75">
      <c r="B33" s="18" t="s">
        <v>49</v>
      </c>
      <c r="C33" s="18"/>
      <c r="D33" s="18" t="s">
        <v>14</v>
      </c>
      <c r="F33" s="19" t="s">
        <v>17</v>
      </c>
      <c r="G33">
        <v>6.6</v>
      </c>
      <c r="H33"/>
      <c r="I33">
        <v>8.2</v>
      </c>
      <c r="J33"/>
      <c r="K33">
        <v>9.1</v>
      </c>
      <c r="L33" s="22"/>
      <c r="M33" s="28">
        <f>AVERAGE(G33,I33,K33)</f>
        <v>7.966666666666666</v>
      </c>
    </row>
    <row r="34" spans="2:13" ht="12.75">
      <c r="B34" s="18" t="s">
        <v>50</v>
      </c>
      <c r="C34" s="18"/>
      <c r="D34" s="18" t="s">
        <v>14</v>
      </c>
      <c r="G34">
        <v>35.3</v>
      </c>
      <c r="H34"/>
      <c r="I34">
        <v>29.8</v>
      </c>
      <c r="J34"/>
      <c r="K34">
        <v>31.2</v>
      </c>
      <c r="L34" s="22"/>
      <c r="M34" s="28">
        <f>AVERAGE(G34,I34,K34)</f>
        <v>32.1</v>
      </c>
    </row>
    <row r="35" spans="2:13" ht="12.75">
      <c r="B35" s="18" t="s">
        <v>46</v>
      </c>
      <c r="C35" s="18"/>
      <c r="D35" s="18" t="s">
        <v>18</v>
      </c>
      <c r="G35">
        <v>486</v>
      </c>
      <c r="H35"/>
      <c r="I35">
        <v>522</v>
      </c>
      <c r="J35"/>
      <c r="K35">
        <v>524</v>
      </c>
      <c r="L35" s="22"/>
      <c r="M35" s="28">
        <f>AVERAGE(G35,I35,K35)</f>
        <v>510.6666666666667</v>
      </c>
    </row>
    <row r="36" spans="2:13" ht="12.75">
      <c r="B36" s="18"/>
      <c r="C36" s="18"/>
      <c r="L36" s="22"/>
      <c r="M36" s="28"/>
    </row>
    <row r="37" spans="2:13" ht="12.75">
      <c r="B37" s="18" t="s">
        <v>21</v>
      </c>
      <c r="C37" s="18" t="s">
        <v>163</v>
      </c>
      <c r="D37" s="18" t="s">
        <v>26</v>
      </c>
      <c r="E37" s="18" t="s">
        <v>15</v>
      </c>
      <c r="G37" s="12">
        <f>G11*(21-7)/(21-G$27)</f>
        <v>3.5194444444444444</v>
      </c>
      <c r="H37"/>
      <c r="I37" s="12">
        <f>I11*(21-7)/(21-I$27)</f>
        <v>2.734375</v>
      </c>
      <c r="J37"/>
      <c r="K37" s="12">
        <f>K11*(21-7)/(21-K$27)</f>
        <v>3.905882352941176</v>
      </c>
      <c r="M37" s="28">
        <f>AVERAGE(G37,I37,K37)</f>
        <v>3.386567265795206</v>
      </c>
    </row>
    <row r="38" spans="2:13" ht="12.75">
      <c r="B38" s="18" t="s">
        <v>28</v>
      </c>
      <c r="C38" s="18" t="s">
        <v>163</v>
      </c>
      <c r="D38" s="18" t="s">
        <v>26</v>
      </c>
      <c r="E38" s="18" t="s">
        <v>15</v>
      </c>
      <c r="G38" s="12">
        <f>G12*(21-7)/(21-G$27)</f>
        <v>0.15555555555555556</v>
      </c>
      <c r="H38"/>
      <c r="I38" s="12">
        <f>I12*(21-7)/(21-I$27)</f>
        <v>0.7875</v>
      </c>
      <c r="J38"/>
      <c r="K38" s="12">
        <f>K12*(21-7)/(21-K$27)</f>
        <v>1.0941176470588236</v>
      </c>
      <c r="M38" s="28">
        <f>AVERAGE(G38,I38,K38)</f>
        <v>0.6790577342047931</v>
      </c>
    </row>
    <row r="39" spans="2:13" ht="12.75">
      <c r="B39" s="18" t="s">
        <v>165</v>
      </c>
      <c r="C39" s="18" t="s">
        <v>163</v>
      </c>
      <c r="D39" s="18" t="s">
        <v>26</v>
      </c>
      <c r="E39" s="18" t="s">
        <v>15</v>
      </c>
      <c r="G39" s="27">
        <f>G37+2*G38</f>
        <v>3.8305555555555557</v>
      </c>
      <c r="I39" s="27">
        <f>I37+2*I38</f>
        <v>4.309375</v>
      </c>
      <c r="K39" s="27">
        <f>K37+2*K38</f>
        <v>6.094117647058823</v>
      </c>
      <c r="L39" s="22"/>
      <c r="M39" s="28">
        <f>AVERAGE(G39,I39,K39)</f>
        <v>4.744682734204793</v>
      </c>
    </row>
    <row r="40" spans="2:13" ht="12.75">
      <c r="B40" s="18"/>
      <c r="C40" s="18"/>
      <c r="L40" s="22"/>
      <c r="M40" s="28"/>
    </row>
    <row r="41" spans="1:13" ht="12.75">
      <c r="A41" s="20">
        <v>11</v>
      </c>
      <c r="B41" s="21" t="s">
        <v>102</v>
      </c>
      <c r="C41" s="18" t="s">
        <v>91</v>
      </c>
      <c r="G41" s="19" t="s">
        <v>76</v>
      </c>
      <c r="I41" s="19" t="s">
        <v>77</v>
      </c>
      <c r="K41" s="19" t="s">
        <v>78</v>
      </c>
      <c r="L41" s="19"/>
      <c r="M41" s="19" t="s">
        <v>30</v>
      </c>
    </row>
    <row r="42" spans="2:12" ht="12.75">
      <c r="B42" s="18"/>
      <c r="C42" s="18"/>
      <c r="D42" s="9"/>
      <c r="E42" s="9"/>
      <c r="F42" s="10"/>
      <c r="G42" s="9"/>
      <c r="H42" s="10"/>
      <c r="I42" s="9"/>
      <c r="J42" s="10"/>
      <c r="K42" s="9"/>
      <c r="L42" s="22"/>
    </row>
    <row r="43" spans="2:13" ht="12.75">
      <c r="B43" s="18" t="s">
        <v>71</v>
      </c>
      <c r="C43" s="18" t="s">
        <v>163</v>
      </c>
      <c r="D43" s="18" t="s">
        <v>26</v>
      </c>
      <c r="E43" s="18" t="s">
        <v>15</v>
      </c>
      <c r="F43"/>
      <c r="G43">
        <v>219</v>
      </c>
      <c r="H43"/>
      <c r="I43">
        <v>149</v>
      </c>
      <c r="J43"/>
      <c r="K43">
        <v>297</v>
      </c>
      <c r="L43" s="22"/>
      <c r="M43" s="28">
        <f>AVERAGE(G43,I43,K43)</f>
        <v>221.66666666666666</v>
      </c>
    </row>
    <row r="44" spans="2:13" ht="12.75">
      <c r="B44" s="18" t="s">
        <v>72</v>
      </c>
      <c r="C44" s="18" t="s">
        <v>163</v>
      </c>
      <c r="D44" s="18" t="s">
        <v>26</v>
      </c>
      <c r="E44" s="18" t="s">
        <v>15</v>
      </c>
      <c r="F44"/>
      <c r="G44">
        <v>16.1</v>
      </c>
      <c r="H44"/>
      <c r="I44">
        <v>14</v>
      </c>
      <c r="J44"/>
      <c r="K44">
        <v>13.6</v>
      </c>
      <c r="L44" s="22"/>
      <c r="M44" s="28">
        <f>AVERAGE(G44,I44,K44)</f>
        <v>14.566666666666668</v>
      </c>
    </row>
    <row r="45" spans="2:12" ht="12.75">
      <c r="B45" s="18"/>
      <c r="C45" s="18"/>
      <c r="F45"/>
      <c r="G45"/>
      <c r="H45"/>
      <c r="I45"/>
      <c r="J45"/>
      <c r="K45"/>
      <c r="L45" s="22"/>
    </row>
    <row r="46" spans="2:13" ht="12.75">
      <c r="B46" s="18" t="s">
        <v>19</v>
      </c>
      <c r="C46" s="18" t="s">
        <v>163</v>
      </c>
      <c r="D46" s="18" t="s">
        <v>20</v>
      </c>
      <c r="E46" s="18" t="s">
        <v>15</v>
      </c>
      <c r="F46"/>
      <c r="G46">
        <v>0.0013</v>
      </c>
      <c r="H46"/>
      <c r="I46">
        <v>0.0005</v>
      </c>
      <c r="J46"/>
      <c r="K46">
        <v>0.0005</v>
      </c>
      <c r="L46" s="22"/>
      <c r="M46" s="25">
        <f>AVERAGE(K46,I46,G46)</f>
        <v>0.0007666666666666667</v>
      </c>
    </row>
    <row r="47" spans="2:12" ht="12.75">
      <c r="B47" s="18"/>
      <c r="C47" s="18"/>
      <c r="F47"/>
      <c r="G47"/>
      <c r="H47"/>
      <c r="I47"/>
      <c r="J47"/>
      <c r="K47"/>
      <c r="L47" s="22"/>
    </row>
    <row r="48" spans="2:12" ht="12.75">
      <c r="B48" s="18" t="s">
        <v>21</v>
      </c>
      <c r="C48" s="18"/>
      <c r="D48" s="18" t="s">
        <v>26</v>
      </c>
      <c r="E48" s="18" t="s">
        <v>12</v>
      </c>
      <c r="F48"/>
      <c r="G48">
        <v>5.57</v>
      </c>
      <c r="H48"/>
      <c r="I48">
        <v>4.6</v>
      </c>
      <c r="J48"/>
      <c r="K48">
        <v>12.32</v>
      </c>
      <c r="L48" s="22"/>
    </row>
    <row r="49" spans="2:12" ht="12.75">
      <c r="B49" s="18" t="s">
        <v>28</v>
      </c>
      <c r="C49" s="18"/>
      <c r="D49" s="18" t="s">
        <v>26</v>
      </c>
      <c r="E49" s="18" t="s">
        <v>12</v>
      </c>
      <c r="F49"/>
      <c r="G49">
        <v>2.09</v>
      </c>
      <c r="H49"/>
      <c r="I49">
        <v>1.39</v>
      </c>
      <c r="J49"/>
      <c r="K49">
        <v>2.39</v>
      </c>
      <c r="L49" s="22"/>
    </row>
    <row r="50" spans="2:12" ht="12.75">
      <c r="B50" s="18"/>
      <c r="C50" s="18"/>
      <c r="F50"/>
      <c r="G50"/>
      <c r="H50"/>
      <c r="I50"/>
      <c r="J50"/>
      <c r="K50"/>
      <c r="L50" s="22"/>
    </row>
    <row r="51" spans="2:13" ht="12.75">
      <c r="B51" s="20" t="s">
        <v>52</v>
      </c>
      <c r="C51" s="18" t="s">
        <v>164</v>
      </c>
      <c r="D51" s="18" t="s">
        <v>29</v>
      </c>
      <c r="E51" s="18" t="s">
        <v>15</v>
      </c>
      <c r="F51"/>
      <c r="G51">
        <v>0.74</v>
      </c>
      <c r="H51"/>
      <c r="I51">
        <v>0.72</v>
      </c>
      <c r="J51"/>
      <c r="K51">
        <v>0.93</v>
      </c>
      <c r="L51" s="19"/>
      <c r="M51" s="28">
        <f aca="true" t="shared" si="1" ref="M51:M57">AVERAGE(G51,I51,K51)</f>
        <v>0.7966666666666667</v>
      </c>
    </row>
    <row r="52" spans="2:13" ht="12.75">
      <c r="B52" s="20" t="s">
        <v>54</v>
      </c>
      <c r="C52" s="18" t="s">
        <v>164</v>
      </c>
      <c r="D52" s="18" t="s">
        <v>29</v>
      </c>
      <c r="E52" s="18" t="s">
        <v>15</v>
      </c>
      <c r="F52" t="s">
        <v>13</v>
      </c>
      <c r="G52">
        <v>0.04</v>
      </c>
      <c r="H52" t="s">
        <v>13</v>
      </c>
      <c r="I52">
        <v>0.05</v>
      </c>
      <c r="J52" t="s">
        <v>13</v>
      </c>
      <c r="K52">
        <v>0.04</v>
      </c>
      <c r="L52" s="53">
        <f>(G52+I52+K52)/(3*M52)*100</f>
        <v>100</v>
      </c>
      <c r="M52" s="27">
        <f t="shared" si="1"/>
        <v>0.043333333333333335</v>
      </c>
    </row>
    <row r="53" spans="2:13" ht="12.75">
      <c r="B53" s="20" t="s">
        <v>58</v>
      </c>
      <c r="C53" s="18" t="s">
        <v>164</v>
      </c>
      <c r="D53" s="18" t="s">
        <v>29</v>
      </c>
      <c r="E53" s="18" t="s">
        <v>15</v>
      </c>
      <c r="F53"/>
      <c r="G53">
        <v>1.78</v>
      </c>
      <c r="H53"/>
      <c r="I53">
        <v>9.73</v>
      </c>
      <c r="J53"/>
      <c r="K53">
        <v>3.11</v>
      </c>
      <c r="L53" s="26"/>
      <c r="M53" s="28">
        <f t="shared" si="1"/>
        <v>4.873333333333333</v>
      </c>
    </row>
    <row r="54" spans="2:13" ht="12.75">
      <c r="B54" s="20" t="s">
        <v>60</v>
      </c>
      <c r="C54" s="18" t="s">
        <v>164</v>
      </c>
      <c r="D54" s="18" t="s">
        <v>29</v>
      </c>
      <c r="E54" s="18" t="s">
        <v>15</v>
      </c>
      <c r="F54"/>
      <c r="G54">
        <v>4.87</v>
      </c>
      <c r="H54"/>
      <c r="I54">
        <v>5.36</v>
      </c>
      <c r="J54"/>
      <c r="K54">
        <v>3.33</v>
      </c>
      <c r="L54" s="26"/>
      <c r="M54" s="28">
        <f t="shared" si="1"/>
        <v>4.5200000000000005</v>
      </c>
    </row>
    <row r="55" spans="2:13" ht="12.75">
      <c r="B55" s="20" t="s">
        <v>57</v>
      </c>
      <c r="C55" s="18" t="s">
        <v>164</v>
      </c>
      <c r="D55" s="18" t="s">
        <v>29</v>
      </c>
      <c r="E55" s="18" t="s">
        <v>15</v>
      </c>
      <c r="F55"/>
      <c r="G55">
        <v>21.46</v>
      </c>
      <c r="H55"/>
      <c r="I55">
        <v>20.02</v>
      </c>
      <c r="J55"/>
      <c r="K55">
        <v>29.88</v>
      </c>
      <c r="L55" s="26"/>
      <c r="M55" s="28">
        <f t="shared" si="1"/>
        <v>23.786666666666665</v>
      </c>
    </row>
    <row r="56" spans="2:13" ht="12.75">
      <c r="B56" s="20" t="s">
        <v>124</v>
      </c>
      <c r="C56" s="18" t="s">
        <v>164</v>
      </c>
      <c r="D56" s="18" t="s">
        <v>29</v>
      </c>
      <c r="E56" s="18" t="s">
        <v>15</v>
      </c>
      <c r="F56"/>
      <c r="G56">
        <v>1.9</v>
      </c>
      <c r="H56"/>
      <c r="I56">
        <v>1.84</v>
      </c>
      <c r="J56"/>
      <c r="K56">
        <v>1.36</v>
      </c>
      <c r="L56" s="26"/>
      <c r="M56" s="28">
        <f t="shared" si="1"/>
        <v>1.7000000000000002</v>
      </c>
    </row>
    <row r="57" spans="2:13" ht="12.75">
      <c r="B57" s="20" t="s">
        <v>125</v>
      </c>
      <c r="C57" s="18" t="s">
        <v>164</v>
      </c>
      <c r="D57" s="18" t="s">
        <v>29</v>
      </c>
      <c r="E57" s="18" t="s">
        <v>15</v>
      </c>
      <c r="F57"/>
      <c r="G57">
        <v>2.9</v>
      </c>
      <c r="H57"/>
      <c r="I57">
        <v>1.71</v>
      </c>
      <c r="J57"/>
      <c r="K57">
        <v>2.79</v>
      </c>
      <c r="L57" s="26"/>
      <c r="M57" s="28">
        <f t="shared" si="1"/>
        <v>2.4666666666666663</v>
      </c>
    </row>
    <row r="58" spans="7:13" ht="12.75">
      <c r="G58" s="1"/>
      <c r="H58" s="1"/>
      <c r="I58" s="1"/>
      <c r="J58" s="1"/>
      <c r="K58" s="1"/>
      <c r="L58" s="26"/>
      <c r="M58" s="28"/>
    </row>
    <row r="59" spans="2:13" ht="12.75">
      <c r="B59" s="20" t="s">
        <v>35</v>
      </c>
      <c r="C59" s="18" t="s">
        <v>164</v>
      </c>
      <c r="D59" s="18" t="s">
        <v>29</v>
      </c>
      <c r="E59" s="18" t="s">
        <v>15</v>
      </c>
      <c r="F59" s="54">
        <f>G52/G59*100</f>
        <v>0.7079646017699115</v>
      </c>
      <c r="G59" s="1">
        <f>G51+G52+G54</f>
        <v>5.65</v>
      </c>
      <c r="H59" s="54">
        <f>I52/I59*100</f>
        <v>0.8156606851549755</v>
      </c>
      <c r="I59" s="1">
        <f>I51+I52+I54</f>
        <v>6.130000000000001</v>
      </c>
      <c r="J59" s="55">
        <f>K52/K59*100</f>
        <v>0.9302325581395349</v>
      </c>
      <c r="K59" s="1">
        <f>K51+K52+K54</f>
        <v>4.3</v>
      </c>
      <c r="L59" s="52">
        <f>(F59*G59+H59*I59+J59*K59)/(3*M59)</f>
        <v>0.8084577114427861</v>
      </c>
      <c r="M59" s="28">
        <f>AVERAGE(K59,I59,G59)</f>
        <v>5.359999999999999</v>
      </c>
    </row>
    <row r="60" spans="2:13" ht="12.75">
      <c r="B60" s="20" t="s">
        <v>34</v>
      </c>
      <c r="C60" s="18" t="s">
        <v>164</v>
      </c>
      <c r="D60" s="18" t="s">
        <v>29</v>
      </c>
      <c r="E60" s="18" t="s">
        <v>15</v>
      </c>
      <c r="G60" s="1">
        <f>G53+G55</f>
        <v>23.240000000000002</v>
      </c>
      <c r="H60" s="1"/>
      <c r="I60" s="1">
        <f>I53+I55</f>
        <v>29.75</v>
      </c>
      <c r="J60" s="1"/>
      <c r="K60" s="1">
        <f>K53+K55</f>
        <v>32.99</v>
      </c>
      <c r="L60" s="26"/>
      <c r="M60" s="28">
        <f>AVERAGE(K60,I60,G60)</f>
        <v>28.66</v>
      </c>
    </row>
    <row r="61" spans="7:13" ht="12.75">
      <c r="G61"/>
      <c r="H61"/>
      <c r="I61"/>
      <c r="J61"/>
      <c r="K61"/>
      <c r="L61" s="26"/>
      <c r="M61" s="27"/>
    </row>
    <row r="62" spans="2:12" ht="12.75">
      <c r="B62" s="18" t="s">
        <v>51</v>
      </c>
      <c r="C62" s="18" t="s">
        <v>48</v>
      </c>
      <c r="D62" s="18" t="s">
        <v>163</v>
      </c>
      <c r="G62"/>
      <c r="H62"/>
      <c r="I62"/>
      <c r="J62"/>
      <c r="K62"/>
      <c r="L62" s="22"/>
    </row>
    <row r="63" spans="2:13" ht="12.75">
      <c r="B63" s="18" t="s">
        <v>47</v>
      </c>
      <c r="C63" s="18"/>
      <c r="D63" s="18" t="s">
        <v>16</v>
      </c>
      <c r="G63">
        <v>38783</v>
      </c>
      <c r="H63"/>
      <c r="I63">
        <v>41737</v>
      </c>
      <c r="J63"/>
      <c r="K63">
        <v>40471</v>
      </c>
      <c r="L63" s="22"/>
      <c r="M63" s="28">
        <f>AVERAGE(G63,I63,K63)</f>
        <v>40330.333333333336</v>
      </c>
    </row>
    <row r="64" spans="2:13" ht="12.75">
      <c r="B64" s="18" t="s">
        <v>49</v>
      </c>
      <c r="C64" s="18"/>
      <c r="D64" s="18" t="s">
        <v>14</v>
      </c>
      <c r="G64">
        <v>7.2</v>
      </c>
      <c r="H64"/>
      <c r="I64">
        <v>8.3</v>
      </c>
      <c r="J64"/>
      <c r="K64">
        <v>6.9</v>
      </c>
      <c r="L64" s="19"/>
      <c r="M64" s="28">
        <f>AVERAGE(G64,I64,K64)</f>
        <v>7.466666666666666</v>
      </c>
    </row>
    <row r="65" spans="2:13" ht="12.75">
      <c r="B65" s="18" t="s">
        <v>50</v>
      </c>
      <c r="C65" s="18"/>
      <c r="D65" s="18" t="s">
        <v>14</v>
      </c>
      <c r="G65">
        <v>30.5</v>
      </c>
      <c r="H65"/>
      <c r="I65">
        <v>29.8</v>
      </c>
      <c r="J65"/>
      <c r="K65">
        <v>30.5</v>
      </c>
      <c r="L65" s="19"/>
      <c r="M65" s="28">
        <f>AVERAGE(G65,I65,K65)</f>
        <v>30.266666666666666</v>
      </c>
    </row>
    <row r="66" spans="2:13" ht="12.75">
      <c r="B66" s="18" t="s">
        <v>46</v>
      </c>
      <c r="C66" s="18"/>
      <c r="D66" s="18" t="s">
        <v>18</v>
      </c>
      <c r="G66">
        <v>403</v>
      </c>
      <c r="H66"/>
      <c r="I66">
        <v>411</v>
      </c>
      <c r="J66"/>
      <c r="K66">
        <v>391</v>
      </c>
      <c r="M66" s="28">
        <f>AVERAGE(G66,I66,K66)</f>
        <v>401.6666666666667</v>
      </c>
    </row>
    <row r="67" spans="7:12" ht="12.75">
      <c r="G67"/>
      <c r="H67"/>
      <c r="I67"/>
      <c r="J67"/>
      <c r="K67"/>
      <c r="L67" s="22"/>
    </row>
    <row r="68" spans="2:12" ht="12.75">
      <c r="B68" s="18" t="s">
        <v>51</v>
      </c>
      <c r="C68" s="18" t="s">
        <v>70</v>
      </c>
      <c r="D68" s="18" t="s">
        <v>164</v>
      </c>
      <c r="G68"/>
      <c r="H68"/>
      <c r="I68"/>
      <c r="J68"/>
      <c r="K68"/>
      <c r="L68" s="22"/>
    </row>
    <row r="69" spans="2:13" ht="12.75">
      <c r="B69" s="18" t="s">
        <v>47</v>
      </c>
      <c r="C69" s="18"/>
      <c r="D69" s="18" t="s">
        <v>16</v>
      </c>
      <c r="G69">
        <v>38789</v>
      </c>
      <c r="H69"/>
      <c r="I69">
        <v>39180</v>
      </c>
      <c r="J69"/>
      <c r="K69">
        <v>39150</v>
      </c>
      <c r="L69" s="22"/>
      <c r="M69" s="28">
        <f>AVERAGE(G69,I69,K69)</f>
        <v>39039.666666666664</v>
      </c>
    </row>
    <row r="70" spans="2:13" ht="12.75">
      <c r="B70" s="18" t="s">
        <v>49</v>
      </c>
      <c r="C70" s="18"/>
      <c r="D70" s="18" t="s">
        <v>14</v>
      </c>
      <c r="G70">
        <v>7.2</v>
      </c>
      <c r="H70"/>
      <c r="I70">
        <v>8.3</v>
      </c>
      <c r="J70"/>
      <c r="K70">
        <v>6.9</v>
      </c>
      <c r="L70" s="19"/>
      <c r="M70" s="28">
        <f>AVERAGE(G70,I70,K70)</f>
        <v>7.466666666666666</v>
      </c>
    </row>
    <row r="71" spans="2:13" ht="12.75">
      <c r="B71" s="18" t="s">
        <v>50</v>
      </c>
      <c r="C71" s="18"/>
      <c r="D71" s="18" t="s">
        <v>14</v>
      </c>
      <c r="G71">
        <v>31.1</v>
      </c>
      <c r="H71"/>
      <c r="I71">
        <v>30.7</v>
      </c>
      <c r="J71"/>
      <c r="K71">
        <v>31.3</v>
      </c>
      <c r="L71" s="19"/>
      <c r="M71" s="28">
        <f>AVERAGE(G71,I71,K71)</f>
        <v>31.03333333333333</v>
      </c>
    </row>
    <row r="72" spans="2:13" ht="12.75">
      <c r="B72" s="18" t="s">
        <v>46</v>
      </c>
      <c r="C72" s="18"/>
      <c r="D72" s="18" t="s">
        <v>18</v>
      </c>
      <c r="G72">
        <v>403</v>
      </c>
      <c r="H72"/>
      <c r="I72">
        <v>414</v>
      </c>
      <c r="J72"/>
      <c r="K72">
        <v>391</v>
      </c>
      <c r="M72" s="28">
        <f>AVERAGE(G72,I72,K72)</f>
        <v>402.6666666666667</v>
      </c>
    </row>
    <row r="73" spans="2:11" ht="12.75">
      <c r="B73" s="18"/>
      <c r="C73" s="18"/>
      <c r="G73"/>
      <c r="H73"/>
      <c r="I73"/>
      <c r="J73"/>
      <c r="K73"/>
    </row>
    <row r="74" spans="2:13" ht="12.75">
      <c r="B74" s="18" t="s">
        <v>21</v>
      </c>
      <c r="C74" s="18" t="s">
        <v>163</v>
      </c>
      <c r="D74" s="18" t="s">
        <v>26</v>
      </c>
      <c r="E74" s="18" t="s">
        <v>15</v>
      </c>
      <c r="G74" s="12">
        <f>G48*(21-7)/(21-G$64)</f>
        <v>5.65072463768116</v>
      </c>
      <c r="H74"/>
      <c r="I74" s="12">
        <f>I48*(21-7)/(21-I$64)</f>
        <v>5.070866141732283</v>
      </c>
      <c r="J74"/>
      <c r="K74" s="12">
        <f>K48*(21-7)/(21-K$64)</f>
        <v>12.232624113475179</v>
      </c>
      <c r="M74" s="28">
        <f>AVERAGE(G74,I74,K74)</f>
        <v>7.651404964296208</v>
      </c>
    </row>
    <row r="75" spans="2:13" ht="12.75">
      <c r="B75" s="18" t="s">
        <v>28</v>
      </c>
      <c r="C75" s="18" t="s">
        <v>163</v>
      </c>
      <c r="D75" s="18" t="s">
        <v>26</v>
      </c>
      <c r="E75" s="18" t="s">
        <v>15</v>
      </c>
      <c r="G75" s="12">
        <f>G49*(21-7)/(21-G$64)</f>
        <v>2.1202898550724636</v>
      </c>
      <c r="H75"/>
      <c r="I75" s="12">
        <f>I49*(21-7)/(21-I$64)</f>
        <v>1.532283464566929</v>
      </c>
      <c r="J75"/>
      <c r="K75" s="12">
        <f>K49*(21-7)/(21-K$64)</f>
        <v>2.373049645390071</v>
      </c>
      <c r="M75" s="28">
        <f>AVERAGE(G75,I75,K75)</f>
        <v>2.0085409883431544</v>
      </c>
    </row>
    <row r="76" spans="2:13" ht="12.75">
      <c r="B76" s="18" t="s">
        <v>165</v>
      </c>
      <c r="C76" s="18" t="s">
        <v>163</v>
      </c>
      <c r="D76" s="18" t="s">
        <v>26</v>
      </c>
      <c r="E76" s="18" t="s">
        <v>15</v>
      </c>
      <c r="G76" s="27">
        <f>G74+2*G75</f>
        <v>9.891304347826086</v>
      </c>
      <c r="I76" s="27">
        <f>I74+2*I75</f>
        <v>8.135433070866142</v>
      </c>
      <c r="K76" s="27">
        <f>K74+2*K75</f>
        <v>16.97872340425532</v>
      </c>
      <c r="L76" s="22"/>
      <c r="M76" s="28">
        <f>AVERAGE(G76,I76,K76)</f>
        <v>11.668486940982516</v>
      </c>
    </row>
    <row r="77" spans="7:11" ht="12.75">
      <c r="G77"/>
      <c r="H77"/>
      <c r="I77"/>
      <c r="J77"/>
      <c r="K77"/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workbookViewId="0" topLeftCell="B1">
      <selection activeCell="B2" sqref="B2"/>
    </sheetView>
  </sheetViews>
  <sheetFormatPr defaultColWidth="9.140625" defaultRowHeight="12.75"/>
  <cols>
    <col min="1" max="1" width="5.7109375" style="0" hidden="1" customWidth="1"/>
    <col min="2" max="2" width="19.7109375" style="0" customWidth="1"/>
    <col min="4" max="4" width="8.8515625" style="0" customWidth="1"/>
    <col min="5" max="5" width="6.28125" style="0" customWidth="1"/>
    <col min="6" max="6" width="3.28125" style="0" customWidth="1"/>
    <col min="8" max="8" width="3.57421875" style="0" customWidth="1"/>
    <col min="10" max="10" width="3.28125" style="0" customWidth="1"/>
    <col min="12" max="12" width="3.28125" style="0" customWidth="1"/>
    <col min="13" max="13" width="9.57421875" style="0" customWidth="1"/>
    <col min="14" max="14" width="3.8515625" style="0" customWidth="1"/>
    <col min="15" max="15" width="10.00390625" style="0" customWidth="1"/>
    <col min="16" max="16" width="2.57421875" style="0" customWidth="1"/>
    <col min="17" max="17" width="11.421875" style="0" bestFit="1" customWidth="1"/>
  </cols>
  <sheetData>
    <row r="1" ht="12.75">
      <c r="B1" s="2" t="s">
        <v>152</v>
      </c>
    </row>
    <row r="3" spans="1:15" ht="12.75">
      <c r="A3">
        <v>1</v>
      </c>
      <c r="B3" s="2" t="s">
        <v>107</v>
      </c>
      <c r="G3" s="3" t="s">
        <v>76</v>
      </c>
      <c r="H3" s="3"/>
      <c r="I3" s="3" t="s">
        <v>77</v>
      </c>
      <c r="J3" s="3"/>
      <c r="K3" s="3" t="s">
        <v>78</v>
      </c>
      <c r="L3" s="3"/>
      <c r="M3" s="3" t="s">
        <v>120</v>
      </c>
      <c r="N3" s="3"/>
      <c r="O3" s="3" t="s">
        <v>30</v>
      </c>
    </row>
    <row r="5" spans="2:60" s="42" customFormat="1" ht="12.75">
      <c r="B5" s="42" t="s">
        <v>19</v>
      </c>
      <c r="C5" s="42" t="s">
        <v>163</v>
      </c>
      <c r="D5" s="42" t="s">
        <v>20</v>
      </c>
      <c r="E5" s="42" t="s">
        <v>15</v>
      </c>
      <c r="F5" s="43" t="s">
        <v>121</v>
      </c>
      <c r="G5" s="42">
        <v>0.0108401075328</v>
      </c>
      <c r="H5" s="43" t="s">
        <v>121</v>
      </c>
      <c r="I5" s="42">
        <v>0.007726002567111111</v>
      </c>
      <c r="J5" s="43" t="s">
        <v>121</v>
      </c>
      <c r="K5" s="42">
        <v>0.015056753135094341</v>
      </c>
      <c r="L5" s="43" t="s">
        <v>121</v>
      </c>
      <c r="M5" s="42">
        <v>0.11081242000301887</v>
      </c>
      <c r="N5" s="43" t="s">
        <v>121</v>
      </c>
      <c r="O5" s="42">
        <f>AVERAGE(G5,I5,K5)</f>
        <v>0.01120762107833515</v>
      </c>
      <c r="P5" s="43" t="s">
        <v>121</v>
      </c>
      <c r="Q5" s="42" t="s">
        <v>122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BH5"/>
    </row>
    <row r="6" spans="2:60" s="44" customFormat="1" ht="12.75">
      <c r="B6" s="44" t="s">
        <v>21</v>
      </c>
      <c r="C6" s="42" t="s">
        <v>163</v>
      </c>
      <c r="D6" s="44" t="s">
        <v>26</v>
      </c>
      <c r="E6" s="42" t="s">
        <v>15</v>
      </c>
      <c r="F6" s="43" t="s">
        <v>121</v>
      </c>
      <c r="G6" s="56">
        <v>22.9493955433145</v>
      </c>
      <c r="H6" s="56" t="s">
        <v>121</v>
      </c>
      <c r="I6" s="56">
        <v>19.794356361375105</v>
      </c>
      <c r="J6" s="56" t="s">
        <v>121</v>
      </c>
      <c r="K6" s="56">
        <v>17.381857878749</v>
      </c>
      <c r="L6" s="56" t="s">
        <v>121</v>
      </c>
      <c r="M6" s="56">
        <v>18.714518252607796</v>
      </c>
      <c r="N6" s="56" t="s">
        <v>121</v>
      </c>
      <c r="O6" s="56">
        <f aca="true" t="shared" si="0" ref="O6:O20">AVERAGE(G6,I6,K6,M6)</f>
        <v>19.7100320090116</v>
      </c>
      <c r="P6" s="43" t="s">
        <v>121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BH6"/>
    </row>
    <row r="7" spans="2:60" s="44" customFormat="1" ht="12.75">
      <c r="B7" s="44" t="s">
        <v>28</v>
      </c>
      <c r="C7" s="42" t="s">
        <v>163</v>
      </c>
      <c r="D7" s="44" t="s">
        <v>26</v>
      </c>
      <c r="E7" s="42" t="s">
        <v>15</v>
      </c>
      <c r="F7" s="43" t="s">
        <v>121</v>
      </c>
      <c r="G7" s="56">
        <v>0.005082074444073839</v>
      </c>
      <c r="H7" s="56" t="s">
        <v>121</v>
      </c>
      <c r="I7" s="56">
        <v>0.004796387160088879</v>
      </c>
      <c r="J7" s="56" t="s">
        <v>121</v>
      </c>
      <c r="K7" s="56">
        <v>0.0057300113538209865</v>
      </c>
      <c r="L7" s="56" t="s">
        <v>121</v>
      </c>
      <c r="M7" s="56">
        <v>0.0047091182134269</v>
      </c>
      <c r="N7" s="56" t="s">
        <v>121</v>
      </c>
      <c r="O7" s="56">
        <f t="shared" si="0"/>
        <v>0.005079397792852651</v>
      </c>
      <c r="P7" s="43" t="s">
        <v>121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BH7"/>
    </row>
    <row r="8" spans="2:60" s="44" customFormat="1" ht="12.75">
      <c r="B8" s="44" t="s">
        <v>165</v>
      </c>
      <c r="C8" s="42" t="s">
        <v>163</v>
      </c>
      <c r="D8" s="44" t="s">
        <v>26</v>
      </c>
      <c r="E8" s="42" t="s">
        <v>15</v>
      </c>
      <c r="F8" s="43"/>
      <c r="G8" s="56">
        <f>G6+2*G7</f>
        <v>22.959559692202646</v>
      </c>
      <c r="H8" s="56"/>
      <c r="I8" s="56">
        <f>I6+2*I7</f>
        <v>19.803949135695284</v>
      </c>
      <c r="J8" s="56"/>
      <c r="K8" s="56">
        <f>K6+2*K7</f>
        <v>17.39331790145664</v>
      </c>
      <c r="L8" s="56"/>
      <c r="M8" s="56">
        <f>M6+2*M7</f>
        <v>18.72393648903465</v>
      </c>
      <c r="N8" s="56"/>
      <c r="O8" s="56">
        <f t="shared" si="0"/>
        <v>19.720190804597305</v>
      </c>
      <c r="P8" s="43"/>
      <c r="R8"/>
      <c r="S8"/>
      <c r="T8"/>
      <c r="U8"/>
      <c r="V8"/>
      <c r="W8"/>
      <c r="X8"/>
      <c r="Y8"/>
      <c r="Z8"/>
      <c r="AA8"/>
      <c r="AB8"/>
      <c r="AC8"/>
      <c r="AD8"/>
      <c r="AE8"/>
      <c r="BH8"/>
    </row>
    <row r="9" spans="2:60" s="44" customFormat="1" ht="12.75">
      <c r="B9" s="44" t="s">
        <v>56</v>
      </c>
      <c r="C9" s="44" t="s">
        <v>164</v>
      </c>
      <c r="D9" s="44" t="s">
        <v>29</v>
      </c>
      <c r="E9" s="42" t="s">
        <v>15</v>
      </c>
      <c r="F9" s="43" t="s">
        <v>121</v>
      </c>
      <c r="G9" s="56">
        <v>554.1689514505973</v>
      </c>
      <c r="H9" s="56" t="s">
        <v>121</v>
      </c>
      <c r="I9" s="56">
        <v>205.2995847664526</v>
      </c>
      <c r="J9" s="56" t="s">
        <v>121</v>
      </c>
      <c r="K9" s="56">
        <f>96.4886057634664*2.27</f>
        <v>219.02913508306872</v>
      </c>
      <c r="L9" s="56" t="s">
        <v>121</v>
      </c>
      <c r="M9" s="56">
        <v>218</v>
      </c>
      <c r="N9" s="56" t="s">
        <v>121</v>
      </c>
      <c r="O9" s="56">
        <f t="shared" si="0"/>
        <v>299.12441782502964</v>
      </c>
      <c r="P9" s="43" t="s">
        <v>121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BH9"/>
    </row>
    <row r="10" spans="2:60" s="44" customFormat="1" ht="12.75">
      <c r="B10" s="44" t="s">
        <v>52</v>
      </c>
      <c r="C10" s="44" t="s">
        <v>164</v>
      </c>
      <c r="D10" s="44" t="s">
        <v>29</v>
      </c>
      <c r="E10" s="42" t="s">
        <v>15</v>
      </c>
      <c r="F10" s="43" t="s">
        <v>121</v>
      </c>
      <c r="G10" s="56">
        <v>110.83379029012</v>
      </c>
      <c r="H10" s="56" t="s">
        <v>121</v>
      </c>
      <c r="I10" s="56">
        <v>20.15210648014258</v>
      </c>
      <c r="J10" s="56" t="s">
        <v>121</v>
      </c>
      <c r="K10" s="56">
        <f>19.4119088518216*2.27</f>
        <v>44.06503309363503</v>
      </c>
      <c r="L10" s="56" t="s">
        <v>121</v>
      </c>
      <c r="M10" s="56">
        <f>17.4182958215055*2.5</f>
        <v>43.545739553763745</v>
      </c>
      <c r="N10" s="56" t="s">
        <v>121</v>
      </c>
      <c r="O10" s="56">
        <f t="shared" si="0"/>
        <v>54.64916735441535</v>
      </c>
      <c r="P10" s="43" t="s">
        <v>121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BH10"/>
    </row>
    <row r="11" spans="2:60" s="44" customFormat="1" ht="12.75">
      <c r="B11" s="44" t="s">
        <v>53</v>
      </c>
      <c r="C11" s="44" t="s">
        <v>164</v>
      </c>
      <c r="D11" s="44" t="s">
        <v>29</v>
      </c>
      <c r="E11" s="42" t="s">
        <v>15</v>
      </c>
      <c r="F11" s="43"/>
      <c r="G11" s="56"/>
      <c r="H11" s="56" t="s">
        <v>13</v>
      </c>
      <c r="I11" s="56">
        <v>707.8427401150084</v>
      </c>
      <c r="J11" s="56" t="s">
        <v>13</v>
      </c>
      <c r="K11" s="56">
        <f>331.715265967893*2.27</f>
        <v>752.9936537471172</v>
      </c>
      <c r="L11" s="56" t="s">
        <v>121</v>
      </c>
      <c r="M11" s="56">
        <v>872</v>
      </c>
      <c r="N11" s="56" t="s">
        <v>121</v>
      </c>
      <c r="O11" s="56">
        <f t="shared" si="0"/>
        <v>777.6121312873752</v>
      </c>
      <c r="P11" s="43"/>
      <c r="Q11" s="44" t="s">
        <v>191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BH11"/>
    </row>
    <row r="12" spans="2:60" s="44" customFormat="1" ht="12.75">
      <c r="B12" s="44" t="s">
        <v>54</v>
      </c>
      <c r="C12" s="44" t="s">
        <v>164</v>
      </c>
      <c r="D12" s="44" t="s">
        <v>29</v>
      </c>
      <c r="E12" s="42" t="s">
        <v>15</v>
      </c>
      <c r="F12" s="43" t="s">
        <v>121</v>
      </c>
      <c r="G12" s="56">
        <v>11.083379029012</v>
      </c>
      <c r="H12" s="56" t="s">
        <v>121</v>
      </c>
      <c r="I12" s="56">
        <v>4.1563719615294</v>
      </c>
      <c r="J12" s="56" t="s">
        <v>121</v>
      </c>
      <c r="K12" s="56">
        <f>1.94119088518216*2.27</f>
        <v>4.4065033093635035</v>
      </c>
      <c r="L12" s="56" t="s">
        <v>121</v>
      </c>
      <c r="M12" s="56">
        <f>1.74182958215055*2.5</f>
        <v>4.354573955376376</v>
      </c>
      <c r="N12" s="56" t="s">
        <v>121</v>
      </c>
      <c r="O12" s="56">
        <f t="shared" si="0"/>
        <v>6.000207063820319</v>
      </c>
      <c r="P12" s="43" t="s">
        <v>121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BH12"/>
    </row>
    <row r="13" spans="2:60" s="44" customFormat="1" ht="12.75">
      <c r="B13" s="44" t="s">
        <v>58</v>
      </c>
      <c r="C13" s="44" t="s">
        <v>164</v>
      </c>
      <c r="D13" s="44" t="s">
        <v>29</v>
      </c>
      <c r="E13" s="42" t="s">
        <v>15</v>
      </c>
      <c r="F13" s="43" t="s">
        <v>121</v>
      </c>
      <c r="G13" s="56">
        <v>11.083379029012</v>
      </c>
      <c r="H13" s="56" t="s">
        <v>121</v>
      </c>
      <c r="I13" s="56">
        <v>4.1563719615294</v>
      </c>
      <c r="J13" s="56" t="s">
        <v>121</v>
      </c>
      <c r="K13" s="56">
        <f>1.94119088518216*2.27</f>
        <v>4.4065033093635035</v>
      </c>
      <c r="L13" s="56" t="s">
        <v>121</v>
      </c>
      <c r="M13" s="56">
        <f>1.74182958215055*2.5</f>
        <v>4.354573955376376</v>
      </c>
      <c r="N13" s="56" t="s">
        <v>121</v>
      </c>
      <c r="O13" s="56">
        <f t="shared" si="0"/>
        <v>6.000207063820319</v>
      </c>
      <c r="P13" s="43" t="s">
        <v>121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BH13"/>
    </row>
    <row r="14" spans="2:60" s="44" customFormat="1" ht="12.75">
      <c r="B14" s="44" t="s">
        <v>60</v>
      </c>
      <c r="C14" s="44" t="s">
        <v>164</v>
      </c>
      <c r="D14" s="44" t="s">
        <v>29</v>
      </c>
      <c r="E14" s="42" t="s">
        <v>15</v>
      </c>
      <c r="F14" s="43" t="s">
        <v>121</v>
      </c>
      <c r="G14" s="56">
        <v>55.41689514505973</v>
      </c>
      <c r="H14" s="56" t="s">
        <v>121</v>
      </c>
      <c r="I14" s="56">
        <v>45.342239580320815</v>
      </c>
      <c r="J14" s="56" t="s">
        <v>121</v>
      </c>
      <c r="K14" s="56">
        <f>9.70595442591082*2.27</f>
        <v>22.03251654681756</v>
      </c>
      <c r="L14" s="56" t="s">
        <v>121</v>
      </c>
      <c r="M14" s="56">
        <f>8.72099709158373*2.5</f>
        <v>21.802492728959322</v>
      </c>
      <c r="N14" s="56" t="s">
        <v>121</v>
      </c>
      <c r="O14" s="56">
        <f t="shared" si="0"/>
        <v>36.148536000289354</v>
      </c>
      <c r="P14" s="43" t="s">
        <v>121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BH14"/>
    </row>
    <row r="15" spans="2:60" s="44" customFormat="1" ht="12.75">
      <c r="B15" s="44" t="s">
        <v>57</v>
      </c>
      <c r="C15" s="44" t="s">
        <v>164</v>
      </c>
      <c r="D15" s="44" t="s">
        <v>29</v>
      </c>
      <c r="E15" s="42" t="s">
        <v>15</v>
      </c>
      <c r="F15" s="43" t="s">
        <v>13</v>
      </c>
      <c r="G15" s="56">
        <v>387.9182660154181</v>
      </c>
      <c r="H15" s="56" t="s">
        <v>121</v>
      </c>
      <c r="I15" s="56">
        <v>45.342239580320815</v>
      </c>
      <c r="J15" s="56" t="s">
        <v>121</v>
      </c>
      <c r="K15" s="56">
        <f>19.4119088518216*2.27</f>
        <v>44.06503309363503</v>
      </c>
      <c r="L15" s="56" t="s">
        <v>121</v>
      </c>
      <c r="M15" s="56">
        <f>17.4182958215055*2.5</f>
        <v>43.545739553763745</v>
      </c>
      <c r="N15" s="56"/>
      <c r="O15" s="56">
        <f t="shared" si="0"/>
        <v>130.21781956078442</v>
      </c>
      <c r="Q15" s="44" t="s">
        <v>192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BH15"/>
    </row>
    <row r="16" spans="2:60" s="44" customFormat="1" ht="12.75">
      <c r="B16" s="44" t="s">
        <v>64</v>
      </c>
      <c r="C16" s="44" t="s">
        <v>164</v>
      </c>
      <c r="D16" s="44" t="s">
        <v>29</v>
      </c>
      <c r="E16" s="42" t="s">
        <v>15</v>
      </c>
      <c r="F16" s="43" t="s">
        <v>121</v>
      </c>
      <c r="G16" s="56">
        <v>1.2314865587791</v>
      </c>
      <c r="H16" s="56" t="s">
        <v>121</v>
      </c>
      <c r="I16" s="56">
        <v>15.869783853112287</v>
      </c>
      <c r="J16" s="56" t="s">
        <v>121</v>
      </c>
      <c r="K16" s="56">
        <f>1.31315853997617*2.27</f>
        <v>2.980869885745906</v>
      </c>
      <c r="L16" s="56" t="s">
        <v>121</v>
      </c>
      <c r="M16" s="56">
        <f>0.000374*1000/0.0283*14/(21-M30)</f>
        <v>16.819787985865727</v>
      </c>
      <c r="N16" s="56" t="s">
        <v>121</v>
      </c>
      <c r="O16" s="56">
        <f t="shared" si="0"/>
        <v>9.225482070875756</v>
      </c>
      <c r="P16" s="43" t="s">
        <v>121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BH16"/>
    </row>
    <row r="17" spans="2:60" s="44" customFormat="1" ht="12.75">
      <c r="B17" s="44" t="s">
        <v>59</v>
      </c>
      <c r="C17" s="44" t="s">
        <v>164</v>
      </c>
      <c r="D17" s="44" t="s">
        <v>29</v>
      </c>
      <c r="E17" s="42" t="s">
        <v>15</v>
      </c>
      <c r="F17" s="43" t="s">
        <v>121</v>
      </c>
      <c r="G17" s="56">
        <v>11.083379029012</v>
      </c>
      <c r="H17" s="56" t="s">
        <v>121</v>
      </c>
      <c r="I17" s="56">
        <v>2.0152106480142584</v>
      </c>
      <c r="J17" s="56" t="s">
        <v>121</v>
      </c>
      <c r="K17" s="56">
        <f>1.94119088518216*2.27</f>
        <v>4.4065033093635035</v>
      </c>
      <c r="L17" s="56" t="s">
        <v>121</v>
      </c>
      <c r="M17" s="56"/>
      <c r="N17" s="56" t="s">
        <v>121</v>
      </c>
      <c r="O17" s="56">
        <f t="shared" si="0"/>
        <v>5.835030995463254</v>
      </c>
      <c r="P17" s="43" t="s">
        <v>121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BH17"/>
    </row>
    <row r="18" spans="2:60" s="44" customFormat="1" ht="12.75">
      <c r="B18" s="44" t="s">
        <v>55</v>
      </c>
      <c r="C18" s="44" t="s">
        <v>164</v>
      </c>
      <c r="D18" s="44" t="s">
        <v>29</v>
      </c>
      <c r="E18" s="42" t="s">
        <v>15</v>
      </c>
      <c r="F18" s="43" t="s">
        <v>121</v>
      </c>
      <c r="G18" s="56">
        <v>554.1689514505973</v>
      </c>
      <c r="H18" s="56" t="s">
        <v>121</v>
      </c>
      <c r="I18" s="56">
        <v>205.2995847664526</v>
      </c>
      <c r="J18" s="56" t="s">
        <v>121</v>
      </c>
      <c r="K18" s="56">
        <f>96.4886057634664*2.27</f>
        <v>219.02913508306872</v>
      </c>
      <c r="L18" s="56" t="s">
        <v>121</v>
      </c>
      <c r="M18" s="56"/>
      <c r="N18" s="56" t="s">
        <v>121</v>
      </c>
      <c r="O18" s="56">
        <f t="shared" si="0"/>
        <v>326.16589043337285</v>
      </c>
      <c r="P18" s="43" t="s">
        <v>121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BH18"/>
    </row>
    <row r="19" spans="2:60" s="44" customFormat="1" ht="12.75">
      <c r="B19" s="44" t="s">
        <v>34</v>
      </c>
      <c r="C19" s="44" t="s">
        <v>164</v>
      </c>
      <c r="D19" s="44" t="s">
        <v>29</v>
      </c>
      <c r="E19" s="42" t="s">
        <v>15</v>
      </c>
      <c r="F19" s="43"/>
      <c r="G19" s="56">
        <f>G13+G15</f>
        <v>399.0016450444301</v>
      </c>
      <c r="H19" s="56"/>
      <c r="I19" s="56">
        <f>I13+I15</f>
        <v>49.49861154185022</v>
      </c>
      <c r="J19" s="56"/>
      <c r="K19" s="56">
        <f>K13+K15</f>
        <v>48.47153640299853</v>
      </c>
      <c r="L19" s="56"/>
      <c r="M19" s="56">
        <f>M13+M15</f>
        <v>47.90031350914012</v>
      </c>
      <c r="N19" s="56"/>
      <c r="O19" s="56">
        <f t="shared" si="0"/>
        <v>136.21802662460476</v>
      </c>
      <c r="P19" s="43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BH19"/>
    </row>
    <row r="20" spans="2:60" s="44" customFormat="1" ht="12.75">
      <c r="B20" s="44" t="s">
        <v>35</v>
      </c>
      <c r="C20" s="44" t="s">
        <v>164</v>
      </c>
      <c r="D20" s="44" t="s">
        <v>29</v>
      </c>
      <c r="E20" s="42" t="s">
        <v>15</v>
      </c>
      <c r="F20" s="43"/>
      <c r="G20" s="56">
        <f>G10+G12+G14</f>
        <v>177.33406446419173</v>
      </c>
      <c r="H20" s="56"/>
      <c r="I20" s="56">
        <f>I10+I12+I14</f>
        <v>69.65071802199279</v>
      </c>
      <c r="J20" s="56"/>
      <c r="K20" s="56">
        <f>K10+K12+K14</f>
        <v>70.5040529498161</v>
      </c>
      <c r="L20" s="56"/>
      <c r="M20" s="56">
        <f>M10+M12+M14</f>
        <v>69.70280623809944</v>
      </c>
      <c r="N20" s="56"/>
      <c r="O20" s="56">
        <f t="shared" si="0"/>
        <v>96.79791041852502</v>
      </c>
      <c r="P20" s="4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BH20"/>
    </row>
    <row r="21" spans="6:60" s="44" customFormat="1" ht="12.75">
      <c r="F21" s="43"/>
      <c r="H21" s="43"/>
      <c r="J21" s="43"/>
      <c r="L21" s="43"/>
      <c r="N21" s="43"/>
      <c r="P21" s="43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BH21"/>
    </row>
    <row r="22" spans="2:60" s="44" customFormat="1" ht="12.75">
      <c r="B22" s="44" t="s">
        <v>51</v>
      </c>
      <c r="C22" s="45" t="s">
        <v>123</v>
      </c>
      <c r="D22" s="44" t="s">
        <v>163</v>
      </c>
      <c r="F22" s="43"/>
      <c r="H22" s="43"/>
      <c r="J22" s="43"/>
      <c r="L22" s="43"/>
      <c r="N22" s="43"/>
      <c r="P22" s="43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BH22"/>
    </row>
    <row r="23" spans="2:60" s="45" customFormat="1" ht="12.75">
      <c r="B23" s="18" t="s">
        <v>47</v>
      </c>
      <c r="D23" s="18" t="s">
        <v>16</v>
      </c>
      <c r="G23" s="43">
        <v>60722</v>
      </c>
      <c r="H23" s="43"/>
      <c r="I23" s="43">
        <v>64514</v>
      </c>
      <c r="J23" s="43"/>
      <c r="K23" s="43">
        <v>52720</v>
      </c>
      <c r="L23" s="43"/>
      <c r="M23" s="43">
        <v>59058</v>
      </c>
      <c r="N23" s="43"/>
      <c r="O23" s="43"/>
      <c r="P23" s="43"/>
      <c r="Q23" s="4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43"/>
      <c r="AG23" s="43"/>
      <c r="AH23" s="43"/>
      <c r="AI23" s="43"/>
      <c r="AJ23" s="43"/>
      <c r="AK23" s="43"/>
      <c r="AL23" s="43"/>
      <c r="AM23" s="43"/>
      <c r="AN23" s="43"/>
      <c r="BH23"/>
    </row>
    <row r="24" spans="2:60" s="45" customFormat="1" ht="12.75">
      <c r="B24" s="18" t="s">
        <v>49</v>
      </c>
      <c r="D24" s="18" t="s">
        <v>14</v>
      </c>
      <c r="G24" s="43">
        <v>10.5</v>
      </c>
      <c r="H24" s="43"/>
      <c r="I24" s="43">
        <v>10.2</v>
      </c>
      <c r="J24" s="43"/>
      <c r="K24" s="43">
        <v>10.4</v>
      </c>
      <c r="L24" s="43"/>
      <c r="M24" s="43">
        <v>10.4</v>
      </c>
      <c r="N24" s="43"/>
      <c r="O24" s="43"/>
      <c r="P24" s="43"/>
      <c r="Q24" s="4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 s="43"/>
      <c r="AG24" s="43"/>
      <c r="AH24" s="43"/>
      <c r="AI24" s="43"/>
      <c r="AJ24" s="43"/>
      <c r="AK24" s="43"/>
      <c r="AL24" s="43"/>
      <c r="AM24" s="43"/>
      <c r="AN24" s="43"/>
      <c r="BH24"/>
    </row>
    <row r="25" spans="2:60" s="45" customFormat="1" ht="12.75">
      <c r="B25" s="18" t="s">
        <v>50</v>
      </c>
      <c r="D25" s="18" t="s">
        <v>14</v>
      </c>
      <c r="G25" s="43">
        <v>31.08</v>
      </c>
      <c r="H25" s="43"/>
      <c r="I25" s="43">
        <v>27.56</v>
      </c>
      <c r="J25" s="43"/>
      <c r="K25" s="43">
        <v>31.12</v>
      </c>
      <c r="L25" s="43"/>
      <c r="M25" s="43">
        <v>28.65</v>
      </c>
      <c r="N25" s="43"/>
      <c r="O25" s="43"/>
      <c r="P25" s="43"/>
      <c r="Q25" s="4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 s="43"/>
      <c r="AG25" s="43"/>
      <c r="AH25" s="43"/>
      <c r="AI25" s="43"/>
      <c r="AJ25" s="43"/>
      <c r="AK25" s="43"/>
      <c r="AL25" s="43"/>
      <c r="AM25" s="43"/>
      <c r="AN25" s="43"/>
      <c r="BH25"/>
    </row>
    <row r="26" spans="2:60" s="45" customFormat="1" ht="12.75">
      <c r="B26" s="18" t="s">
        <v>46</v>
      </c>
      <c r="D26" s="18" t="s">
        <v>18</v>
      </c>
      <c r="G26" s="43">
        <v>429.6</v>
      </c>
      <c r="H26" s="43"/>
      <c r="I26" s="43">
        <v>423.7</v>
      </c>
      <c r="J26" s="43"/>
      <c r="K26" s="43">
        <v>399.3</v>
      </c>
      <c r="L26" s="43"/>
      <c r="M26" s="43">
        <v>463.1</v>
      </c>
      <c r="N26" s="43"/>
      <c r="O26" s="43"/>
      <c r="P26" s="43"/>
      <c r="Q26" s="4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43"/>
      <c r="AG26" s="43"/>
      <c r="AH26" s="43"/>
      <c r="AI26" s="43"/>
      <c r="AJ26" s="43"/>
      <c r="AK26" s="43"/>
      <c r="AL26" s="43"/>
      <c r="AM26" s="43"/>
      <c r="AN26" s="43"/>
      <c r="BH26"/>
    </row>
    <row r="27" spans="7:60" s="45" customFormat="1" ht="12.75"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43"/>
      <c r="AG27" s="43"/>
      <c r="AH27" s="43"/>
      <c r="AI27" s="43"/>
      <c r="AJ27" s="43"/>
      <c r="AK27" s="43"/>
      <c r="AL27" s="43"/>
      <c r="AM27" s="43"/>
      <c r="AN27" s="43"/>
      <c r="BH27"/>
    </row>
    <row r="28" spans="2:60" s="45" customFormat="1" ht="12.75">
      <c r="B28" s="44" t="s">
        <v>51</v>
      </c>
      <c r="C28" s="45" t="s">
        <v>70</v>
      </c>
      <c r="D28" s="18" t="s">
        <v>164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s="43"/>
      <c r="AG28" s="43"/>
      <c r="AH28" s="43"/>
      <c r="AI28" s="43"/>
      <c r="AJ28" s="43"/>
      <c r="AK28" s="43"/>
      <c r="AL28" s="43"/>
      <c r="AM28" s="43"/>
      <c r="AN28" s="43"/>
      <c r="BH28"/>
    </row>
    <row r="29" spans="2:60" s="45" customFormat="1" ht="12.75">
      <c r="B29" s="18" t="s">
        <v>47</v>
      </c>
      <c r="D29" s="18" t="s">
        <v>16</v>
      </c>
      <c r="G29" s="43">
        <v>50979</v>
      </c>
      <c r="H29" s="43"/>
      <c r="I29" s="43">
        <v>59474</v>
      </c>
      <c r="J29" s="43"/>
      <c r="K29" s="43">
        <v>58907</v>
      </c>
      <c r="L29" s="43"/>
      <c r="M29" s="45">
        <f>57403</f>
        <v>57403</v>
      </c>
      <c r="N29" s="43"/>
      <c r="O29" s="43"/>
      <c r="P29" s="43"/>
      <c r="Q29" s="43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43"/>
      <c r="AG29" s="43"/>
      <c r="AH29" s="43"/>
      <c r="AI29" s="43"/>
      <c r="AJ29" s="43"/>
      <c r="AK29" s="43"/>
      <c r="AL29" s="43"/>
      <c r="AM29" s="43"/>
      <c r="AN29" s="43"/>
      <c r="BH29"/>
    </row>
    <row r="30" spans="2:60" s="45" customFormat="1" ht="12.75">
      <c r="B30" s="18" t="s">
        <v>49</v>
      </c>
      <c r="D30" s="18" t="s">
        <v>14</v>
      </c>
      <c r="G30" s="43">
        <v>10.5</v>
      </c>
      <c r="H30" s="43"/>
      <c r="I30" s="43">
        <v>10</v>
      </c>
      <c r="J30" s="43"/>
      <c r="K30" s="43">
        <v>10.2</v>
      </c>
      <c r="L30" s="43"/>
      <c r="M30" s="43">
        <v>10</v>
      </c>
      <c r="N30" s="43"/>
      <c r="O30" s="43"/>
      <c r="P30" s="43"/>
      <c r="Q30" s="43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s="43"/>
      <c r="AG30" s="43"/>
      <c r="AH30" s="43"/>
      <c r="AI30" s="43"/>
      <c r="AJ30" s="43"/>
      <c r="AK30" s="43"/>
      <c r="AL30" s="43"/>
      <c r="AM30" s="43"/>
      <c r="AN30" s="43"/>
      <c r="BH30"/>
    </row>
    <row r="31" spans="2:60" s="45" customFormat="1" ht="12.75">
      <c r="B31" s="18" t="s">
        <v>50</v>
      </c>
      <c r="D31" s="18" t="s">
        <v>14</v>
      </c>
      <c r="G31" s="43">
        <v>29.64</v>
      </c>
      <c r="H31" s="43"/>
      <c r="I31" s="43">
        <v>29.76</v>
      </c>
      <c r="J31" s="43"/>
      <c r="K31" s="43">
        <v>29.97</v>
      </c>
      <c r="L31" s="43"/>
      <c r="M31" s="43">
        <v>28.81</v>
      </c>
      <c r="N31" s="43"/>
      <c r="O31" s="43"/>
      <c r="P31" s="43"/>
      <c r="Q31" s="43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 s="43"/>
      <c r="AG31" s="43"/>
      <c r="AH31" s="43"/>
      <c r="AI31" s="43"/>
      <c r="AJ31" s="43"/>
      <c r="AK31" s="43"/>
      <c r="AL31" s="43"/>
      <c r="AM31" s="43"/>
      <c r="AN31" s="43"/>
      <c r="BH31"/>
    </row>
    <row r="32" spans="2:60" s="45" customFormat="1" ht="12.75">
      <c r="B32" s="18" t="s">
        <v>46</v>
      </c>
      <c r="D32" s="18" t="s">
        <v>18</v>
      </c>
      <c r="G32" s="43">
        <v>382.9</v>
      </c>
      <c r="H32" s="43"/>
      <c r="I32" s="43">
        <v>458.1</v>
      </c>
      <c r="J32" s="43"/>
      <c r="K32" s="43">
        <v>380.5</v>
      </c>
      <c r="L32" s="43"/>
      <c r="M32" s="43">
        <v>467.9</v>
      </c>
      <c r="N32" s="43"/>
      <c r="O32" s="43"/>
      <c r="P32" s="43"/>
      <c r="Q32" s="43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 s="43"/>
      <c r="AG32" s="43"/>
      <c r="AH32" s="43"/>
      <c r="AI32" s="43"/>
      <c r="AJ32" s="43"/>
      <c r="AK32" s="43"/>
      <c r="AL32" s="43"/>
      <c r="AM32" s="43"/>
      <c r="AN32" s="43"/>
      <c r="BH32"/>
    </row>
    <row r="33" spans="6:60" s="44" customFormat="1" ht="12.75">
      <c r="F33" s="43"/>
      <c r="H33" s="43"/>
      <c r="J33" s="43"/>
      <c r="L33" s="43"/>
      <c r="N33" s="43"/>
      <c r="P33" s="4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BH33"/>
    </row>
    <row r="34" spans="1:60" s="44" customFormat="1" ht="12.75">
      <c r="A34" s="44">
        <v>2</v>
      </c>
      <c r="B34" s="46" t="s">
        <v>112</v>
      </c>
      <c r="F34" s="43"/>
      <c r="G34" s="3" t="s">
        <v>76</v>
      </c>
      <c r="H34" s="3"/>
      <c r="I34" s="3" t="s">
        <v>77</v>
      </c>
      <c r="J34" s="3"/>
      <c r="K34" s="3" t="s">
        <v>78</v>
      </c>
      <c r="L34" s="3"/>
      <c r="M34" s="3" t="s">
        <v>120</v>
      </c>
      <c r="N34" s="3"/>
      <c r="O34" s="3" t="s">
        <v>30</v>
      </c>
      <c r="P34" s="4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BH34"/>
    </row>
    <row r="35" spans="6:60" s="44" customFormat="1" ht="12.75">
      <c r="F35" s="43"/>
      <c r="H35" s="43"/>
      <c r="J35" s="43"/>
      <c r="L35" s="43"/>
      <c r="N35" s="43"/>
      <c r="P35" s="43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BH35"/>
    </row>
    <row r="36" spans="2:60" s="42" customFormat="1" ht="12.75">
      <c r="B36" s="42" t="s">
        <v>19</v>
      </c>
      <c r="C36" s="42" t="s">
        <v>163</v>
      </c>
      <c r="D36" s="42" t="s">
        <v>20</v>
      </c>
      <c r="E36" s="42" t="s">
        <v>15</v>
      </c>
      <c r="F36" s="43" t="s">
        <v>121</v>
      </c>
      <c r="G36" s="42">
        <v>0.024700245024</v>
      </c>
      <c r="H36" s="43" t="s">
        <v>121</v>
      </c>
      <c r="I36" s="42">
        <v>0.02150021328</v>
      </c>
      <c r="J36" s="43" t="s">
        <v>121</v>
      </c>
      <c r="K36" s="42">
        <v>0.026800265856</v>
      </c>
      <c r="L36" s="43" t="s">
        <v>121</v>
      </c>
      <c r="N36" s="43" t="s">
        <v>121</v>
      </c>
      <c r="O36" s="42">
        <f aca="true" t="shared" si="1" ref="O36:O53">AVERAGE(G36,I36,K36)</f>
        <v>0.02433357472</v>
      </c>
      <c r="P36" s="43" t="s">
        <v>121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BH36"/>
    </row>
    <row r="37" spans="2:60" s="44" customFormat="1" ht="12.75">
      <c r="B37" s="44" t="s">
        <v>21</v>
      </c>
      <c r="C37" s="42" t="s">
        <v>163</v>
      </c>
      <c r="D37" s="44" t="s">
        <v>26</v>
      </c>
      <c r="E37" s="42" t="s">
        <v>15</v>
      </c>
      <c r="F37" s="43" t="s">
        <v>121</v>
      </c>
      <c r="G37" s="44">
        <v>5.795588235294119</v>
      </c>
      <c r="H37" s="43" t="s">
        <v>121</v>
      </c>
      <c r="I37" s="44">
        <v>9.41966998745312</v>
      </c>
      <c r="J37" s="43" t="s">
        <v>121</v>
      </c>
      <c r="K37" s="44">
        <v>3.7605839416058395</v>
      </c>
      <c r="L37" s="43" t="s">
        <v>121</v>
      </c>
      <c r="N37" s="43" t="s">
        <v>121</v>
      </c>
      <c r="O37" s="44">
        <f t="shared" si="1"/>
        <v>6.325280721451026</v>
      </c>
      <c r="P37" s="43" t="s">
        <v>121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BH37"/>
    </row>
    <row r="38" spans="2:60" s="44" customFormat="1" ht="12.75">
      <c r="B38" s="44" t="s">
        <v>28</v>
      </c>
      <c r="C38" s="42" t="s">
        <v>163</v>
      </c>
      <c r="D38" s="44" t="s">
        <v>26</v>
      </c>
      <c r="E38" s="42" t="s">
        <v>15</v>
      </c>
      <c r="F38" s="43" t="s">
        <v>121</v>
      </c>
      <c r="G38" s="44">
        <v>0.46323529411764713</v>
      </c>
      <c r="H38" s="43" t="s">
        <v>121</v>
      </c>
      <c r="I38" s="44">
        <v>0.11822376367660783</v>
      </c>
      <c r="J38" s="43" t="s">
        <v>121</v>
      </c>
      <c r="K38" s="44">
        <v>0.07940145985401463</v>
      </c>
      <c r="L38" s="43" t="s">
        <v>121</v>
      </c>
      <c r="N38" s="43" t="s">
        <v>121</v>
      </c>
      <c r="O38" s="44">
        <f t="shared" si="1"/>
        <v>0.22028683921608985</v>
      </c>
      <c r="P38" s="43" t="s">
        <v>121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BH38"/>
    </row>
    <row r="39" spans="2:60" s="44" customFormat="1" ht="12.75">
      <c r="B39" s="44" t="s">
        <v>165</v>
      </c>
      <c r="C39" s="42" t="s">
        <v>163</v>
      </c>
      <c r="D39" s="44" t="s">
        <v>26</v>
      </c>
      <c r="E39" s="42" t="s">
        <v>15</v>
      </c>
      <c r="F39" s="43"/>
      <c r="G39" s="44">
        <f>G37+2*G38</f>
        <v>6.722058823529413</v>
      </c>
      <c r="H39" s="43"/>
      <c r="I39" s="44">
        <f>I37+2*I38</f>
        <v>9.656117514806335</v>
      </c>
      <c r="J39" s="43"/>
      <c r="K39" s="44">
        <f>K37+2*K38</f>
        <v>3.919386861313869</v>
      </c>
      <c r="L39" s="43"/>
      <c r="N39" s="43"/>
      <c r="O39" s="44">
        <f t="shared" si="1"/>
        <v>6.765854399883206</v>
      </c>
      <c r="P39" s="4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BH39"/>
    </row>
    <row r="40" spans="2:60" s="44" customFormat="1" ht="12.75">
      <c r="B40" s="44" t="s">
        <v>56</v>
      </c>
      <c r="C40" s="44" t="s">
        <v>164</v>
      </c>
      <c r="D40" s="44" t="s">
        <v>29</v>
      </c>
      <c r="E40" s="42" t="s">
        <v>15</v>
      </c>
      <c r="F40" s="43" t="s">
        <v>121</v>
      </c>
      <c r="G40" s="44">
        <v>1.5442260130636</v>
      </c>
      <c r="H40" s="43" t="s">
        <v>121</v>
      </c>
      <c r="I40" s="44">
        <v>3.188493965707119</v>
      </c>
      <c r="J40" s="43" t="s">
        <v>121</v>
      </c>
      <c r="K40" s="44">
        <v>1.7592305352798</v>
      </c>
      <c r="L40" s="43" t="s">
        <v>121</v>
      </c>
      <c r="N40" s="43" t="s">
        <v>121</v>
      </c>
      <c r="O40" s="44">
        <f t="shared" si="1"/>
        <v>2.163983504683506</v>
      </c>
      <c r="P40" s="43" t="s">
        <v>121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BH40"/>
    </row>
    <row r="41" spans="2:60" s="44" customFormat="1" ht="12.75">
      <c r="B41" s="44" t="s">
        <v>52</v>
      </c>
      <c r="C41" s="44" t="s">
        <v>164</v>
      </c>
      <c r="D41" s="44" t="s">
        <v>29</v>
      </c>
      <c r="E41" s="42" t="s">
        <v>15</v>
      </c>
      <c r="F41" s="43" t="s">
        <v>121</v>
      </c>
      <c r="G41" s="44">
        <v>0.96065222905701</v>
      </c>
      <c r="H41" s="43" t="s">
        <v>121</v>
      </c>
      <c r="I41" s="44">
        <v>1.4193613837806</v>
      </c>
      <c r="J41" s="43" t="s">
        <v>121</v>
      </c>
      <c r="K41" s="44">
        <v>1.0780925587996757</v>
      </c>
      <c r="L41" s="43" t="s">
        <v>121</v>
      </c>
      <c r="N41" s="43" t="s">
        <v>121</v>
      </c>
      <c r="O41" s="44">
        <f t="shared" si="1"/>
        <v>1.1527020572124285</v>
      </c>
      <c r="P41" s="43" t="s">
        <v>121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BH41"/>
    </row>
    <row r="42" spans="2:60" s="44" customFormat="1" ht="12.75">
      <c r="B42" s="44" t="s">
        <v>53</v>
      </c>
      <c r="C42" s="44" t="s">
        <v>164</v>
      </c>
      <c r="D42" s="44" t="s">
        <v>29</v>
      </c>
      <c r="E42" s="42" t="s">
        <v>15</v>
      </c>
      <c r="F42" s="43" t="s">
        <v>121</v>
      </c>
      <c r="G42" s="44">
        <v>22.490035829792628</v>
      </c>
      <c r="H42" s="43" t="s">
        <v>121</v>
      </c>
      <c r="I42" s="44">
        <v>26.562334467894</v>
      </c>
      <c r="J42" s="43" t="s">
        <v>121</v>
      </c>
      <c r="K42" s="44">
        <v>25.89226480129765</v>
      </c>
      <c r="L42" s="43" t="s">
        <v>121</v>
      </c>
      <c r="N42" s="43" t="s">
        <v>121</v>
      </c>
      <c r="O42" s="44">
        <f t="shared" si="1"/>
        <v>24.98154503299476</v>
      </c>
      <c r="P42" s="43" t="s">
        <v>121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BH42"/>
    </row>
    <row r="43" spans="2:60" s="44" customFormat="1" ht="12.75">
      <c r="B43" s="44" t="s">
        <v>54</v>
      </c>
      <c r="C43" s="44" t="s">
        <v>164</v>
      </c>
      <c r="D43" s="44" t="s">
        <v>29</v>
      </c>
      <c r="E43" s="42" t="s">
        <v>15</v>
      </c>
      <c r="F43" s="43" t="s">
        <v>13</v>
      </c>
      <c r="G43" s="44">
        <v>0.044441388166656</v>
      </c>
      <c r="H43" s="43" t="s">
        <v>13</v>
      </c>
      <c r="I43" s="44">
        <v>0.04830897852653234</v>
      </c>
      <c r="J43" s="43" t="s">
        <v>13</v>
      </c>
      <c r="K43" s="44">
        <v>0.04357478710462288</v>
      </c>
      <c r="L43" s="43" t="s">
        <v>121</v>
      </c>
      <c r="N43" s="43">
        <v>100</v>
      </c>
      <c r="O43" s="44">
        <f t="shared" si="1"/>
        <v>0.04544171793260374</v>
      </c>
      <c r="P43" s="43" t="s">
        <v>121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BH43"/>
    </row>
    <row r="44" spans="2:60" s="44" customFormat="1" ht="12.75">
      <c r="B44" s="44" t="s">
        <v>58</v>
      </c>
      <c r="C44" s="44" t="s">
        <v>164</v>
      </c>
      <c r="D44" s="44" t="s">
        <v>29</v>
      </c>
      <c r="E44" s="42" t="s">
        <v>15</v>
      </c>
      <c r="F44" s="43" t="s">
        <v>121</v>
      </c>
      <c r="G44" s="44">
        <v>57.90847548988521</v>
      </c>
      <c r="H44" s="43" t="s">
        <v>121</v>
      </c>
      <c r="I44" s="44">
        <v>157.14358177570855</v>
      </c>
      <c r="J44" s="43" t="s">
        <v>121</v>
      </c>
      <c r="K44" s="44">
        <v>41.815556569343</v>
      </c>
      <c r="L44" s="43" t="s">
        <v>121</v>
      </c>
      <c r="N44" s="43" t="s">
        <v>121</v>
      </c>
      <c r="O44" s="44">
        <f t="shared" si="1"/>
        <v>85.62253794497893</v>
      </c>
      <c r="P44" s="43" t="s">
        <v>121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BH44"/>
    </row>
    <row r="45" spans="2:60" s="44" customFormat="1" ht="12.75">
      <c r="B45" s="44" t="s">
        <v>60</v>
      </c>
      <c r="C45" s="44" t="s">
        <v>164</v>
      </c>
      <c r="D45" s="44" t="s">
        <v>29</v>
      </c>
      <c r="E45" s="42" t="s">
        <v>15</v>
      </c>
      <c r="F45" s="43" t="s">
        <v>121</v>
      </c>
      <c r="G45" s="44">
        <v>31.108971716659266</v>
      </c>
      <c r="H45" s="43" t="s">
        <v>121</v>
      </c>
      <c r="I45" s="44">
        <v>33.30430104085178</v>
      </c>
      <c r="J45" s="43" t="s">
        <v>121</v>
      </c>
      <c r="K45" s="44">
        <v>34.868851378751</v>
      </c>
      <c r="L45" s="43" t="s">
        <v>121</v>
      </c>
      <c r="N45" s="43" t="s">
        <v>121</v>
      </c>
      <c r="O45" s="44">
        <f t="shared" si="1"/>
        <v>33.09404137875402</v>
      </c>
      <c r="P45" s="43" t="s">
        <v>121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BH45"/>
    </row>
    <row r="46" spans="2:60" s="44" customFormat="1" ht="12.75">
      <c r="B46" s="44" t="s">
        <v>57</v>
      </c>
      <c r="C46" s="44" t="s">
        <v>164</v>
      </c>
      <c r="D46" s="44" t="s">
        <v>29</v>
      </c>
      <c r="E46" s="42" t="s">
        <v>15</v>
      </c>
      <c r="F46" s="43" t="s">
        <v>121</v>
      </c>
      <c r="G46" s="44">
        <v>91.576193797958</v>
      </c>
      <c r="H46" s="43" t="s">
        <v>121</v>
      </c>
      <c r="I46" s="44">
        <v>106.45210378354452</v>
      </c>
      <c r="J46" s="43" t="s">
        <v>121</v>
      </c>
      <c r="K46" s="44">
        <v>54.13017031630171</v>
      </c>
      <c r="L46" s="43" t="s">
        <v>121</v>
      </c>
      <c r="N46" s="43" t="s">
        <v>121</v>
      </c>
      <c r="O46" s="44">
        <f t="shared" si="1"/>
        <v>84.0528226326014</v>
      </c>
      <c r="P46" s="43" t="s">
        <v>121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BH46"/>
    </row>
    <row r="47" spans="2:60" s="44" customFormat="1" ht="12.75">
      <c r="B47" s="44" t="s">
        <v>64</v>
      </c>
      <c r="C47" s="44" t="s">
        <v>164</v>
      </c>
      <c r="D47" s="44" t="s">
        <v>29</v>
      </c>
      <c r="E47" s="42" t="s">
        <v>15</v>
      </c>
      <c r="F47" s="43" t="s">
        <v>121</v>
      </c>
      <c r="G47" s="44">
        <v>857.40455957892</v>
      </c>
      <c r="H47" s="43" t="s">
        <v>121</v>
      </c>
      <c r="I47" s="44">
        <v>1145.6274026229</v>
      </c>
      <c r="J47" s="43" t="s">
        <v>121</v>
      </c>
      <c r="K47" s="44">
        <v>893.1478102189782</v>
      </c>
      <c r="L47" s="43" t="s">
        <v>121</v>
      </c>
      <c r="N47" s="43" t="s">
        <v>121</v>
      </c>
      <c r="O47" s="44">
        <f t="shared" si="1"/>
        <v>965.3932574735994</v>
      </c>
      <c r="P47" s="43" t="s">
        <v>121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BH47"/>
    </row>
    <row r="48" spans="2:60" s="44" customFormat="1" ht="12.75">
      <c r="B48" s="44" t="s">
        <v>124</v>
      </c>
      <c r="C48" s="44" t="s">
        <v>164</v>
      </c>
      <c r="D48" s="44" t="s">
        <v>29</v>
      </c>
      <c r="E48" s="42" t="s">
        <v>15</v>
      </c>
      <c r="F48" s="43" t="s">
        <v>121</v>
      </c>
      <c r="G48" s="44">
        <v>23.971415435347833</v>
      </c>
      <c r="H48" s="43" t="s">
        <v>121</v>
      </c>
      <c r="I48" s="44">
        <v>26.46095151190963</v>
      </c>
      <c r="J48" s="43" t="s">
        <v>121</v>
      </c>
      <c r="K48" s="44">
        <v>23.546624087591244</v>
      </c>
      <c r="L48" s="43" t="s">
        <v>121</v>
      </c>
      <c r="N48" s="43" t="s">
        <v>121</v>
      </c>
      <c r="O48" s="44">
        <f t="shared" si="1"/>
        <v>24.6596636782829</v>
      </c>
      <c r="P48" s="43" t="s">
        <v>121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BH48"/>
    </row>
    <row r="49" spans="2:60" s="44" customFormat="1" ht="12.75">
      <c r="B49" s="44" t="s">
        <v>125</v>
      </c>
      <c r="C49" s="44" t="s">
        <v>164</v>
      </c>
      <c r="D49" s="44" t="s">
        <v>29</v>
      </c>
      <c r="E49" s="42" t="s">
        <v>15</v>
      </c>
      <c r="F49" s="43" t="s">
        <v>121</v>
      </c>
      <c r="G49" s="44">
        <v>6.868214534846851</v>
      </c>
      <c r="H49" s="43" t="s">
        <v>121</v>
      </c>
      <c r="I49" s="44">
        <v>5.9309029250832</v>
      </c>
      <c r="J49" s="43" t="s">
        <v>121</v>
      </c>
      <c r="K49" s="44">
        <v>13.938518856447688</v>
      </c>
      <c r="L49" s="43" t="s">
        <v>121</v>
      </c>
      <c r="N49" s="43" t="s">
        <v>121</v>
      </c>
      <c r="O49" s="44">
        <f t="shared" si="1"/>
        <v>8.912545438792579</v>
      </c>
      <c r="P49" s="43" t="s">
        <v>121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BH49"/>
    </row>
    <row r="50" spans="2:60" s="44" customFormat="1" ht="12.75">
      <c r="B50" s="44" t="s">
        <v>59</v>
      </c>
      <c r="C50" s="44" t="s">
        <v>164</v>
      </c>
      <c r="D50" s="44" t="s">
        <v>29</v>
      </c>
      <c r="E50" s="42" t="s">
        <v>15</v>
      </c>
      <c r="F50" s="43" t="s">
        <v>13</v>
      </c>
      <c r="G50" s="44">
        <v>44.441388166656</v>
      </c>
      <c r="H50" s="43" t="s">
        <v>13</v>
      </c>
      <c r="I50" s="44">
        <v>4.8308978526532345</v>
      </c>
      <c r="J50" s="43" t="s">
        <v>13</v>
      </c>
      <c r="K50" s="44">
        <v>4.357478710462288</v>
      </c>
      <c r="L50" s="43" t="s">
        <v>121</v>
      </c>
      <c r="N50" s="43">
        <v>100</v>
      </c>
      <c r="O50" s="44">
        <f t="shared" si="1"/>
        <v>17.876588243257174</v>
      </c>
      <c r="P50" s="43" t="s">
        <v>121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BH50"/>
    </row>
    <row r="51" spans="2:60" s="44" customFormat="1" ht="12.75">
      <c r="B51" s="44" t="s">
        <v>55</v>
      </c>
      <c r="C51" s="44" t="s">
        <v>164</v>
      </c>
      <c r="D51" s="44" t="s">
        <v>29</v>
      </c>
      <c r="E51" s="42" t="s">
        <v>15</v>
      </c>
      <c r="F51" s="43" t="s">
        <v>13</v>
      </c>
      <c r="G51" s="44">
        <v>8.888277633331219</v>
      </c>
      <c r="H51" s="43" t="s">
        <v>13</v>
      </c>
      <c r="I51" s="44">
        <v>9.682072296503334</v>
      </c>
      <c r="J51" s="43" t="s">
        <v>13</v>
      </c>
      <c r="K51" s="44">
        <v>8.705935725871857</v>
      </c>
      <c r="L51" s="43" t="s">
        <v>121</v>
      </c>
      <c r="N51" s="43">
        <v>100</v>
      </c>
      <c r="O51" s="44">
        <f t="shared" si="1"/>
        <v>9.092095218568803</v>
      </c>
      <c r="P51" s="43" t="s">
        <v>121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BH51"/>
    </row>
    <row r="52" spans="2:60" s="44" customFormat="1" ht="12.75">
      <c r="B52" s="44" t="s">
        <v>34</v>
      </c>
      <c r="C52" s="44" t="s">
        <v>164</v>
      </c>
      <c r="D52" s="44" t="s">
        <v>29</v>
      </c>
      <c r="E52" s="42" t="s">
        <v>15</v>
      </c>
      <c r="F52" s="43"/>
      <c r="G52" s="44">
        <f>G46+G44</f>
        <v>149.48466928784322</v>
      </c>
      <c r="H52" s="43"/>
      <c r="I52" s="44">
        <f>I46+I44</f>
        <v>263.59568555925307</v>
      </c>
      <c r="J52" s="43"/>
      <c r="K52" s="44">
        <f>K46+K44</f>
        <v>95.94572688564472</v>
      </c>
      <c r="L52" s="43"/>
      <c r="N52" s="43"/>
      <c r="O52" s="44">
        <f t="shared" si="1"/>
        <v>169.67536057758034</v>
      </c>
      <c r="P52" s="43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BH52"/>
    </row>
    <row r="53" spans="2:60" s="44" customFormat="1" ht="12.75">
      <c r="B53" s="44" t="s">
        <v>35</v>
      </c>
      <c r="C53" s="44" t="s">
        <v>164</v>
      </c>
      <c r="D53" s="44" t="s">
        <v>29</v>
      </c>
      <c r="E53" s="42" t="s">
        <v>15</v>
      </c>
      <c r="F53" s="43">
        <f>G43/G53*100</f>
        <v>0.13838605515872432</v>
      </c>
      <c r="G53" s="44">
        <f>G41+G43+G45</f>
        <v>32.114065333882934</v>
      </c>
      <c r="H53" s="43">
        <f>I43/I53*100</f>
        <v>0.13893080138143574</v>
      </c>
      <c r="I53" s="44">
        <f>I41+I43+I45</f>
        <v>34.771971403158915</v>
      </c>
      <c r="J53" s="43">
        <f>K43/K53*100</f>
        <v>0.12107296212647241</v>
      </c>
      <c r="K53" s="44">
        <f>K41+K43+K45</f>
        <v>35.9905187246553</v>
      </c>
      <c r="L53" s="43"/>
      <c r="N53" s="43">
        <f>(F53*G53+H53*I53+J53*K53)/(3*O53)</f>
        <v>0.13251333424413458</v>
      </c>
      <c r="O53" s="44">
        <f t="shared" si="1"/>
        <v>34.29218515389905</v>
      </c>
      <c r="P53" s="4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BH53"/>
    </row>
    <row r="54" spans="6:60" s="44" customFormat="1" ht="12.75">
      <c r="F54" s="43"/>
      <c r="H54" s="43"/>
      <c r="J54" s="43"/>
      <c r="L54" s="43"/>
      <c r="N54" s="43"/>
      <c r="P54" s="43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BH54"/>
    </row>
    <row r="55" spans="2:60" s="44" customFormat="1" ht="12.75">
      <c r="B55" s="44" t="s">
        <v>51</v>
      </c>
      <c r="C55" s="45" t="s">
        <v>123</v>
      </c>
      <c r="D55" s="44" t="s">
        <v>163</v>
      </c>
      <c r="F55" s="43"/>
      <c r="H55" s="43"/>
      <c r="J55" s="43"/>
      <c r="L55" s="43"/>
      <c r="N55" s="43"/>
      <c r="P55" s="43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BH55"/>
    </row>
    <row r="56" spans="2:60" s="45" customFormat="1" ht="12.75">
      <c r="B56" s="18" t="s">
        <v>47</v>
      </c>
      <c r="C56" s="18"/>
      <c r="D56" s="18" t="s">
        <v>16</v>
      </c>
      <c r="G56" s="43">
        <v>63076</v>
      </c>
      <c r="H56" s="43"/>
      <c r="I56" s="43">
        <v>60436</v>
      </c>
      <c r="J56" s="43"/>
      <c r="K56" s="43">
        <v>60480</v>
      </c>
      <c r="L56" s="43"/>
      <c r="M56" s="43"/>
      <c r="N56" s="43"/>
      <c r="O56" s="43"/>
      <c r="P56" s="43"/>
      <c r="Q56" s="43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 s="43"/>
      <c r="AG56" s="43"/>
      <c r="AH56" s="43"/>
      <c r="AI56" s="43"/>
      <c r="AJ56" s="43"/>
      <c r="AK56" s="43"/>
      <c r="AL56" s="43"/>
      <c r="AM56" s="43"/>
      <c r="AN56" s="43"/>
      <c r="BH56"/>
    </row>
    <row r="57" spans="2:60" s="45" customFormat="1" ht="12.75">
      <c r="B57" s="18" t="s">
        <v>49</v>
      </c>
      <c r="C57" s="18"/>
      <c r="D57" s="18" t="s">
        <v>14</v>
      </c>
      <c r="G57" s="43">
        <v>7.4</v>
      </c>
      <c r="H57" s="43"/>
      <c r="I57" s="43">
        <v>8.8</v>
      </c>
      <c r="J57" s="43"/>
      <c r="K57" s="43">
        <v>7.3</v>
      </c>
      <c r="L57" s="43"/>
      <c r="M57" s="43"/>
      <c r="N57" s="43"/>
      <c r="O57" s="43"/>
      <c r="P57" s="43"/>
      <c r="Q57" s="43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 s="43"/>
      <c r="AG57" s="43"/>
      <c r="AH57" s="43"/>
      <c r="AI57" s="43"/>
      <c r="AJ57" s="43"/>
      <c r="AK57" s="43"/>
      <c r="AL57" s="43"/>
      <c r="AM57" s="43"/>
      <c r="AN57" s="43"/>
      <c r="BH57"/>
    </row>
    <row r="58" spans="2:60" s="45" customFormat="1" ht="12.75">
      <c r="B58" s="18" t="s">
        <v>50</v>
      </c>
      <c r="C58" s="18"/>
      <c r="D58" s="18" t="s">
        <v>14</v>
      </c>
      <c r="G58" s="43">
        <v>0</v>
      </c>
      <c r="H58" s="43"/>
      <c r="I58" s="43">
        <v>0</v>
      </c>
      <c r="J58" s="43"/>
      <c r="K58" s="43">
        <v>0</v>
      </c>
      <c r="L58" s="43"/>
      <c r="M58" s="43"/>
      <c r="N58" s="43"/>
      <c r="O58" s="43"/>
      <c r="P58" s="43"/>
      <c r="Q58" s="43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3"/>
      <c r="AG58" s="43"/>
      <c r="AH58" s="43"/>
      <c r="AI58" s="43"/>
      <c r="AJ58" s="43"/>
      <c r="AK58" s="43"/>
      <c r="AL58" s="43"/>
      <c r="AM58" s="43"/>
      <c r="AN58" s="43"/>
      <c r="BH58"/>
    </row>
    <row r="59" spans="2:60" s="45" customFormat="1" ht="12.75">
      <c r="B59" s="18" t="s">
        <v>46</v>
      </c>
      <c r="C59" s="18"/>
      <c r="D59" s="18" t="s">
        <v>18</v>
      </c>
      <c r="G59" s="43">
        <v>0</v>
      </c>
      <c r="H59" s="43"/>
      <c r="I59" s="43">
        <v>0</v>
      </c>
      <c r="J59" s="43"/>
      <c r="K59" s="43">
        <v>0</v>
      </c>
      <c r="L59" s="43"/>
      <c r="M59" s="43"/>
      <c r="N59" s="43"/>
      <c r="O59" s="43"/>
      <c r="P59" s="43"/>
      <c r="Q59" s="43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 s="43"/>
      <c r="AG59" s="43"/>
      <c r="AH59" s="43"/>
      <c r="AI59" s="43"/>
      <c r="AJ59" s="43"/>
      <c r="AK59" s="43"/>
      <c r="AL59" s="43"/>
      <c r="AM59" s="43"/>
      <c r="AN59" s="43"/>
      <c r="BH59"/>
    </row>
    <row r="60" spans="7:60" s="45" customFormat="1" ht="12.75"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 s="43"/>
      <c r="AG60" s="43"/>
      <c r="AH60" s="43"/>
      <c r="AI60" s="43"/>
      <c r="AJ60" s="43"/>
      <c r="AK60" s="43"/>
      <c r="AL60" s="43"/>
      <c r="AM60" s="43"/>
      <c r="AN60" s="43"/>
      <c r="BH60"/>
    </row>
    <row r="61" spans="2:60" s="45" customFormat="1" ht="12.75">
      <c r="B61" s="44" t="s">
        <v>51</v>
      </c>
      <c r="C61" s="45" t="s">
        <v>70</v>
      </c>
      <c r="D61" s="18" t="s">
        <v>164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3"/>
      <c r="AG61" s="43"/>
      <c r="AH61" s="43"/>
      <c r="AI61" s="43"/>
      <c r="AJ61" s="43"/>
      <c r="AK61" s="43"/>
      <c r="AL61" s="43"/>
      <c r="AM61" s="43"/>
      <c r="AN61" s="43"/>
      <c r="BH61"/>
    </row>
    <row r="62" spans="2:60" s="45" customFormat="1" ht="12.75">
      <c r="B62" s="18" t="s">
        <v>47</v>
      </c>
      <c r="C62" s="18"/>
      <c r="D62" s="18" t="s">
        <v>16</v>
      </c>
      <c r="G62" s="43">
        <v>63076</v>
      </c>
      <c r="H62" s="43"/>
      <c r="I62" s="43">
        <v>60436</v>
      </c>
      <c r="J62" s="43"/>
      <c r="K62" s="43">
        <v>60480</v>
      </c>
      <c r="L62" s="43"/>
      <c r="M62" s="43"/>
      <c r="N62" s="43"/>
      <c r="O62" s="43"/>
      <c r="P62" s="43"/>
      <c r="Q62" s="43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43"/>
      <c r="AG62" s="43"/>
      <c r="AH62" s="43"/>
      <c r="AI62" s="43"/>
      <c r="AJ62" s="43"/>
      <c r="AK62" s="43"/>
      <c r="AL62" s="43"/>
      <c r="AM62" s="43"/>
      <c r="AN62" s="43"/>
      <c r="BH62"/>
    </row>
    <row r="63" spans="2:60" s="45" customFormat="1" ht="12.75">
      <c r="B63" s="18" t="s">
        <v>49</v>
      </c>
      <c r="C63" s="18"/>
      <c r="D63" s="18" t="s">
        <v>14</v>
      </c>
      <c r="G63" s="43">
        <v>7.8</v>
      </c>
      <c r="H63" s="43"/>
      <c r="I63" s="43">
        <v>8.8</v>
      </c>
      <c r="J63" s="43"/>
      <c r="K63" s="43">
        <v>7.3</v>
      </c>
      <c r="L63" s="43"/>
      <c r="M63" s="43"/>
      <c r="N63" s="43"/>
      <c r="O63" s="43"/>
      <c r="P63" s="43"/>
      <c r="Q63" s="4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43"/>
      <c r="AG63" s="43"/>
      <c r="AH63" s="43"/>
      <c r="AI63" s="43"/>
      <c r="AJ63" s="43"/>
      <c r="AK63" s="43"/>
      <c r="AL63" s="43"/>
      <c r="AM63" s="43"/>
      <c r="AN63" s="43"/>
      <c r="BH63"/>
    </row>
    <row r="64" spans="2:60" s="45" customFormat="1" ht="12.75">
      <c r="B64" s="18" t="s">
        <v>50</v>
      </c>
      <c r="C64" s="18"/>
      <c r="D64" s="18" t="s">
        <v>14</v>
      </c>
      <c r="G64" s="43">
        <v>32.3</v>
      </c>
      <c r="H64" s="43"/>
      <c r="I64" s="43">
        <v>32.8</v>
      </c>
      <c r="J64" s="43"/>
      <c r="K64" s="43">
        <v>33.1</v>
      </c>
      <c r="L64" s="43"/>
      <c r="M64" s="43"/>
      <c r="N64" s="43"/>
      <c r="O64" s="43"/>
      <c r="P64" s="43"/>
      <c r="Q64" s="43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 s="43"/>
      <c r="AG64" s="43"/>
      <c r="AH64" s="43"/>
      <c r="AI64" s="43"/>
      <c r="AJ64" s="43"/>
      <c r="AK64" s="43"/>
      <c r="AL64" s="43"/>
      <c r="AM64" s="43"/>
      <c r="AN64" s="43"/>
      <c r="BH64"/>
    </row>
    <row r="65" spans="2:60" s="45" customFormat="1" ht="12.75">
      <c r="B65" s="18" t="s">
        <v>46</v>
      </c>
      <c r="C65" s="18"/>
      <c r="D65" s="18" t="s">
        <v>18</v>
      </c>
      <c r="G65" s="43">
        <v>405</v>
      </c>
      <c r="H65" s="43"/>
      <c r="I65" s="43">
        <v>401</v>
      </c>
      <c r="J65" s="43"/>
      <c r="K65" s="43">
        <v>401</v>
      </c>
      <c r="L65" s="43"/>
      <c r="M65" s="43"/>
      <c r="N65" s="43"/>
      <c r="O65" s="43"/>
      <c r="P65" s="43"/>
      <c r="Q65" s="43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 s="43"/>
      <c r="AG65" s="43"/>
      <c r="AH65" s="43"/>
      <c r="AI65" s="43"/>
      <c r="AJ65" s="43"/>
      <c r="AK65" s="43"/>
      <c r="AL65" s="43"/>
      <c r="AM65" s="43"/>
      <c r="AN65" s="43"/>
      <c r="BH65"/>
    </row>
    <row r="66" spans="7:60" s="45" customFormat="1" ht="12.75"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 s="43"/>
      <c r="AG66" s="43"/>
      <c r="AH66" s="43"/>
      <c r="AI66" s="43"/>
      <c r="AJ66" s="43"/>
      <c r="AK66" s="43"/>
      <c r="AL66" s="43"/>
      <c r="AM66" s="43"/>
      <c r="AN66" s="43"/>
      <c r="BH66"/>
    </row>
    <row r="67" spans="2:60" s="45" customFormat="1" ht="12.75">
      <c r="B67" s="45" t="s">
        <v>140</v>
      </c>
      <c r="C67" s="45" t="s">
        <v>163</v>
      </c>
      <c r="D67" s="45" t="s">
        <v>14</v>
      </c>
      <c r="G67" s="43">
        <v>99.9977</v>
      </c>
      <c r="H67" s="43"/>
      <c r="I67" s="43">
        <v>99.9988</v>
      </c>
      <c r="J67" s="43"/>
      <c r="K67" s="43">
        <v>99.9996</v>
      </c>
      <c r="L67" s="43"/>
      <c r="M67" s="43"/>
      <c r="N67" s="43"/>
      <c r="O67" s="43"/>
      <c r="P67" s="43"/>
      <c r="Q67" s="43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H67"/>
    </row>
    <row r="68" spans="6:60" s="44" customFormat="1" ht="12.75">
      <c r="F68" s="43"/>
      <c r="H68" s="43"/>
      <c r="J68" s="43"/>
      <c r="L68" s="43"/>
      <c r="N68" s="43"/>
      <c r="P68" s="43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BH68"/>
    </row>
    <row r="69" spans="1:60" s="44" customFormat="1" ht="12.75">
      <c r="A69" s="44">
        <v>3</v>
      </c>
      <c r="B69" s="46" t="s">
        <v>116</v>
      </c>
      <c r="F69" s="43"/>
      <c r="G69" s="3" t="s">
        <v>76</v>
      </c>
      <c r="H69" s="3"/>
      <c r="I69" s="3" t="s">
        <v>77</v>
      </c>
      <c r="J69" s="3"/>
      <c r="K69" s="3" t="s">
        <v>78</v>
      </c>
      <c r="L69" s="3"/>
      <c r="M69" s="3" t="s">
        <v>120</v>
      </c>
      <c r="N69" s="3"/>
      <c r="O69" s="3" t="s">
        <v>30</v>
      </c>
      <c r="P69" s="43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BH69"/>
    </row>
    <row r="70" spans="6:60" s="44" customFormat="1" ht="12.75">
      <c r="F70" s="43"/>
      <c r="H70" s="43"/>
      <c r="J70" s="43"/>
      <c r="L70" s="43"/>
      <c r="N70" s="43"/>
      <c r="P70" s="43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BH70"/>
    </row>
    <row r="71" spans="2:60" s="42" customFormat="1" ht="12.75">
      <c r="B71" s="42" t="s">
        <v>19</v>
      </c>
      <c r="C71" s="42" t="s">
        <v>163</v>
      </c>
      <c r="D71" s="42" t="s">
        <v>20</v>
      </c>
      <c r="E71" s="42" t="s">
        <v>15</v>
      </c>
      <c r="F71" s="43" t="s">
        <v>121</v>
      </c>
      <c r="G71" s="42">
        <v>0.054518105817225625</v>
      </c>
      <c r="H71" s="43" t="s">
        <v>121</v>
      </c>
      <c r="I71" s="42">
        <v>0.053039242554063754</v>
      </c>
      <c r="J71" s="43" t="s">
        <v>121</v>
      </c>
      <c r="K71" s="42">
        <v>0.059902689749992716</v>
      </c>
      <c r="L71" s="43" t="s">
        <v>121</v>
      </c>
      <c r="N71" s="43" t="s">
        <v>121</v>
      </c>
      <c r="O71" s="42">
        <f>AVERAGE(G71,I71,K71)</f>
        <v>0.05582001270709403</v>
      </c>
      <c r="P71" s="43" t="s">
        <v>121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BH71"/>
    </row>
    <row r="73" spans="2:4" ht="12.75">
      <c r="B73" s="44" t="s">
        <v>51</v>
      </c>
      <c r="C73" s="45" t="s">
        <v>126</v>
      </c>
      <c r="D73" t="s">
        <v>163</v>
      </c>
    </row>
    <row r="74" spans="2:60" s="45" customFormat="1" ht="12.75">
      <c r="B74" s="18" t="s">
        <v>47</v>
      </c>
      <c r="C74" s="18"/>
      <c r="D74" s="18" t="s">
        <v>16</v>
      </c>
      <c r="G74" s="43">
        <v>45521.7</v>
      </c>
      <c r="H74" s="43"/>
      <c r="I74" s="43">
        <v>48979.67</v>
      </c>
      <c r="J74" s="43"/>
      <c r="K74" s="43">
        <v>50752.5474</v>
      </c>
      <c r="L74" s="43"/>
      <c r="M74" s="43"/>
      <c r="N74" s="43"/>
      <c r="O74" s="43"/>
      <c r="P74" s="43"/>
      <c r="Q74" s="43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 s="43"/>
      <c r="AG74" s="43"/>
      <c r="AH74" s="43"/>
      <c r="AI74" s="43"/>
      <c r="AJ74" s="43"/>
      <c r="AK74" s="43"/>
      <c r="AL74" s="43"/>
      <c r="AM74" s="43"/>
      <c r="AN74" s="43"/>
      <c r="BH74"/>
    </row>
    <row r="75" spans="2:60" s="45" customFormat="1" ht="12.75">
      <c r="B75" s="18" t="s">
        <v>49</v>
      </c>
      <c r="C75" s="18"/>
      <c r="D75" s="18" t="s">
        <v>14</v>
      </c>
      <c r="G75" s="43">
        <v>4.2</v>
      </c>
      <c r="H75" s="43"/>
      <c r="I75" s="43">
        <v>4.2</v>
      </c>
      <c r="J75" s="43"/>
      <c r="K75" s="43">
        <v>4.2</v>
      </c>
      <c r="L75" s="43"/>
      <c r="M75" s="43"/>
      <c r="N75" s="43"/>
      <c r="O75" s="43"/>
      <c r="P75" s="43"/>
      <c r="Q75" s="43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 s="43"/>
      <c r="AG75" s="43"/>
      <c r="AH75" s="43"/>
      <c r="AI75" s="43"/>
      <c r="AJ75" s="43"/>
      <c r="AK75" s="43"/>
      <c r="AL75" s="43"/>
      <c r="AM75" s="43"/>
      <c r="AN75" s="43"/>
      <c r="BH75"/>
    </row>
    <row r="76" spans="2:60" s="45" customFormat="1" ht="12.75">
      <c r="B76" s="18" t="s">
        <v>50</v>
      </c>
      <c r="C76" s="18"/>
      <c r="D76" s="18" t="s">
        <v>14</v>
      </c>
      <c r="G76" s="43">
        <v>30.19</v>
      </c>
      <c r="H76" s="43"/>
      <c r="I76" s="43">
        <v>29.5423</v>
      </c>
      <c r="J76" s="43"/>
      <c r="K76" s="43">
        <v>29.6339</v>
      </c>
      <c r="L76" s="43"/>
      <c r="M76" s="43"/>
      <c r="N76" s="43"/>
      <c r="O76" s="43"/>
      <c r="P76" s="43"/>
      <c r="Q76" s="43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43"/>
      <c r="AG76" s="43"/>
      <c r="AH76" s="43"/>
      <c r="AI76" s="43"/>
      <c r="AJ76" s="43"/>
      <c r="AK76" s="43"/>
      <c r="AL76" s="43"/>
      <c r="AM76" s="43"/>
      <c r="AN76" s="43"/>
      <c r="BH76"/>
    </row>
    <row r="77" spans="2:60" s="45" customFormat="1" ht="12.75">
      <c r="B77" s="18" t="s">
        <v>46</v>
      </c>
      <c r="C77" s="18"/>
      <c r="D77" s="18" t="s">
        <v>18</v>
      </c>
      <c r="G77" s="43">
        <v>364.6</v>
      </c>
      <c r="H77" s="43"/>
      <c r="I77" s="43">
        <v>372.3</v>
      </c>
      <c r="J77" s="43"/>
      <c r="K77" s="43">
        <v>372.8</v>
      </c>
      <c r="L77" s="43"/>
      <c r="M77" s="43"/>
      <c r="N77" s="43"/>
      <c r="O77" s="43"/>
      <c r="P77" s="43"/>
      <c r="Q77" s="43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43"/>
      <c r="AG77" s="43"/>
      <c r="AH77" s="43"/>
      <c r="AI77" s="43"/>
      <c r="AJ77" s="43"/>
      <c r="AK77" s="43"/>
      <c r="AL77" s="43"/>
      <c r="AM77" s="43"/>
      <c r="AN77" s="43"/>
      <c r="BH77"/>
    </row>
  </sheetData>
  <printOptions headings="1" horizontalCentered="1"/>
  <pageMargins left="0.25" right="0.25" top="0.5" bottom="0.5" header="0.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81"/>
  <sheetViews>
    <sheetView workbookViewId="0" topLeftCell="B1">
      <selection activeCell="B2" sqref="B2"/>
    </sheetView>
  </sheetViews>
  <sheetFormatPr defaultColWidth="9.140625" defaultRowHeight="12.75"/>
  <cols>
    <col min="1" max="1" width="6.00390625" style="4" hidden="1" customWidth="1"/>
    <col min="2" max="2" width="19.00390625" style="7" customWidth="1"/>
    <col min="3" max="3" width="5.28125" style="7" customWidth="1"/>
    <col min="4" max="4" width="9.421875" style="7" customWidth="1"/>
    <col min="5" max="5" width="2.8515625" style="5" customWidth="1"/>
    <col min="6" max="6" width="8.7109375" style="30" customWidth="1"/>
    <col min="7" max="7" width="2.7109375" style="30" customWidth="1"/>
    <col min="8" max="8" width="9.28125" style="30" customWidth="1"/>
    <col min="9" max="9" width="2.421875" style="30" customWidth="1"/>
    <col min="10" max="10" width="8.8515625" style="30" customWidth="1"/>
    <col min="11" max="11" width="2.421875" style="30" customWidth="1"/>
    <col min="12" max="12" width="10.140625" style="4" customWidth="1"/>
    <col min="13" max="13" width="2.28125" style="4" customWidth="1"/>
    <col min="14" max="14" width="10.140625" style="5" customWidth="1"/>
    <col min="15" max="15" width="2.140625" style="5" customWidth="1"/>
    <col min="16" max="16" width="10.00390625" style="5" customWidth="1"/>
    <col min="17" max="17" width="2.421875" style="5" customWidth="1"/>
    <col min="18" max="18" width="9.8515625" style="5" customWidth="1"/>
    <col min="19" max="19" width="2.28125" style="5" customWidth="1"/>
    <col min="20" max="20" width="11.00390625" style="30" customWidth="1"/>
    <col min="21" max="21" width="2.421875" style="30" customWidth="1"/>
    <col min="22" max="22" width="8.8515625" style="30" customWidth="1"/>
    <col min="23" max="23" width="2.421875" style="30" customWidth="1"/>
    <col min="24" max="24" width="8.8515625" style="30" customWidth="1"/>
    <col min="25" max="25" width="2.00390625" style="30" customWidth="1"/>
    <col min="26" max="26" width="8.8515625" style="30" customWidth="1"/>
    <col min="27" max="27" width="2.28125" style="30" customWidth="1"/>
    <col min="28" max="28" width="8.57421875" style="30" customWidth="1"/>
    <col min="29" max="29" width="1.8515625" style="30" customWidth="1"/>
    <col min="30" max="30" width="10.8515625" style="5" customWidth="1"/>
    <col min="31" max="31" width="1.8515625" style="5" customWidth="1"/>
    <col min="32" max="32" width="11.00390625" style="5" customWidth="1"/>
    <col min="33" max="33" width="2.140625" style="5" customWidth="1"/>
    <col min="34" max="34" width="9.421875" style="5" customWidth="1"/>
    <col min="35" max="35" width="2.421875" style="5" customWidth="1"/>
    <col min="36" max="36" width="10.7109375" style="4" customWidth="1"/>
    <col min="37" max="37" width="2.140625" style="4" customWidth="1"/>
    <col min="38" max="38" width="9.421875" style="5" customWidth="1"/>
    <col min="39" max="39" width="1.7109375" style="5" customWidth="1"/>
    <col min="40" max="40" width="8.8515625" style="5" customWidth="1"/>
    <col min="41" max="41" width="2.28125" style="5" customWidth="1"/>
    <col min="42" max="42" width="9.57421875" style="5" customWidth="1"/>
    <col min="43" max="43" width="2.421875" style="5" customWidth="1"/>
    <col min="44" max="44" width="9.140625" style="4" customWidth="1"/>
    <col min="45" max="45" width="2.57421875" style="4" customWidth="1"/>
    <col min="46" max="46" width="8.00390625" style="4" customWidth="1"/>
    <col min="47" max="47" width="2.28125" style="4" customWidth="1"/>
    <col min="48" max="48" width="8.57421875" style="4" customWidth="1"/>
    <col min="49" max="49" width="1.8515625" style="4" customWidth="1"/>
    <col min="50" max="50" width="8.00390625" style="4" customWidth="1"/>
    <col min="51" max="51" width="1.7109375" style="4" customWidth="1"/>
    <col min="52" max="52" width="8.57421875" style="4" customWidth="1"/>
    <col min="53" max="53" width="2.421875" style="4" customWidth="1"/>
    <col min="54" max="54" width="9.28125" style="4" customWidth="1"/>
    <col min="55" max="55" width="2.00390625" style="4" customWidth="1"/>
    <col min="56" max="56" width="9.28125" style="4" customWidth="1"/>
    <col min="57" max="57" width="1.7109375" style="4" customWidth="1"/>
    <col min="58" max="58" width="9.28125" style="4" customWidth="1"/>
    <col min="59" max="59" width="2.57421875" style="4" customWidth="1"/>
    <col min="60" max="60" width="9.57421875" style="4" customWidth="1"/>
    <col min="61" max="16384" width="8.8515625" style="4" customWidth="1"/>
  </cols>
  <sheetData>
    <row r="1" spans="2:3" ht="12.75">
      <c r="B1" s="29" t="s">
        <v>154</v>
      </c>
      <c r="C1" s="29"/>
    </row>
    <row r="3" spans="1:60" ht="12.75">
      <c r="A3" s="4" t="s">
        <v>62</v>
      </c>
      <c r="B3" s="29" t="s">
        <v>101</v>
      </c>
      <c r="C3" s="7" t="str">
        <f>'emiss 1'!C4</f>
        <v>mode A</v>
      </c>
      <c r="F3" s="5" t="s">
        <v>76</v>
      </c>
      <c r="G3" s="5"/>
      <c r="H3" s="5" t="s">
        <v>77</v>
      </c>
      <c r="I3" s="5"/>
      <c r="J3" s="5" t="s">
        <v>78</v>
      </c>
      <c r="K3" s="5"/>
      <c r="L3" s="5" t="s">
        <v>30</v>
      </c>
      <c r="M3" s="5"/>
      <c r="N3" s="5" t="s">
        <v>76</v>
      </c>
      <c r="P3" s="5" t="s">
        <v>77</v>
      </c>
      <c r="R3" s="5" t="s">
        <v>78</v>
      </c>
      <c r="T3" s="5" t="s">
        <v>30</v>
      </c>
      <c r="U3" s="5"/>
      <c r="V3" s="5" t="s">
        <v>76</v>
      </c>
      <c r="W3" s="5"/>
      <c r="X3" s="5" t="s">
        <v>77</v>
      </c>
      <c r="Y3" s="5"/>
      <c r="Z3" s="5" t="s">
        <v>78</v>
      </c>
      <c r="AA3" s="5"/>
      <c r="AB3" s="5" t="s">
        <v>30</v>
      </c>
      <c r="AC3" s="5"/>
      <c r="AD3" s="5" t="s">
        <v>76</v>
      </c>
      <c r="AF3" s="5" t="s">
        <v>77</v>
      </c>
      <c r="AH3" s="5" t="s">
        <v>78</v>
      </c>
      <c r="AJ3" s="5" t="s">
        <v>30</v>
      </c>
      <c r="AK3" s="5"/>
      <c r="AL3" s="5" t="s">
        <v>76</v>
      </c>
      <c r="AN3" s="5" t="s">
        <v>77</v>
      </c>
      <c r="AP3" s="5" t="s">
        <v>78</v>
      </c>
      <c r="AR3" s="5" t="s">
        <v>30</v>
      </c>
      <c r="AS3" s="5"/>
      <c r="AT3" s="5" t="s">
        <v>76</v>
      </c>
      <c r="AU3" s="5"/>
      <c r="AV3" s="5" t="s">
        <v>77</v>
      </c>
      <c r="AW3" s="5"/>
      <c r="AX3" s="5" t="s">
        <v>78</v>
      </c>
      <c r="AY3" s="5"/>
      <c r="AZ3" s="5" t="s">
        <v>30</v>
      </c>
      <c r="BA3" s="5"/>
      <c r="BB3" s="5" t="s">
        <v>76</v>
      </c>
      <c r="BC3" s="5"/>
      <c r="BD3" s="5" t="s">
        <v>77</v>
      </c>
      <c r="BE3" s="5"/>
      <c r="BF3" s="5" t="s">
        <v>78</v>
      </c>
      <c r="BG3" s="5"/>
      <c r="BH3" s="5" t="s">
        <v>30</v>
      </c>
    </row>
    <row r="4" spans="2:60" ht="12.75">
      <c r="B4" s="29"/>
      <c r="F4" s="5"/>
      <c r="G4" s="5"/>
      <c r="H4" s="5"/>
      <c r="I4" s="5"/>
      <c r="J4" s="5"/>
      <c r="K4" s="5"/>
      <c r="L4" s="5"/>
      <c r="M4" s="5"/>
      <c r="T4" s="5"/>
      <c r="U4" s="5"/>
      <c r="V4" s="5"/>
      <c r="W4" s="5"/>
      <c r="X4" s="5"/>
      <c r="Y4" s="5"/>
      <c r="Z4" s="5"/>
      <c r="AA4" s="5"/>
      <c r="AB4" s="5"/>
      <c r="AC4" s="5"/>
      <c r="AJ4" s="5"/>
      <c r="AK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2:60" ht="12.75">
      <c r="B5" s="7" t="s">
        <v>159</v>
      </c>
      <c r="F5" s="5" t="s">
        <v>183</v>
      </c>
      <c r="G5" s="5"/>
      <c r="H5" s="5" t="s">
        <v>183</v>
      </c>
      <c r="I5" s="5"/>
      <c r="J5" s="5" t="s">
        <v>183</v>
      </c>
      <c r="K5" s="5"/>
      <c r="L5" s="5" t="s">
        <v>183</v>
      </c>
      <c r="M5" s="5"/>
      <c r="N5" s="5" t="s">
        <v>184</v>
      </c>
      <c r="P5" s="5" t="s">
        <v>184</v>
      </c>
      <c r="R5" s="5" t="s">
        <v>184</v>
      </c>
      <c r="T5" s="5" t="s">
        <v>184</v>
      </c>
      <c r="U5" s="5"/>
      <c r="V5" s="5" t="s">
        <v>185</v>
      </c>
      <c r="W5" s="5"/>
      <c r="X5" s="5" t="s">
        <v>185</v>
      </c>
      <c r="Y5" s="5"/>
      <c r="Z5" s="5" t="s">
        <v>185</v>
      </c>
      <c r="AA5" s="5"/>
      <c r="AB5" s="5" t="s">
        <v>185</v>
      </c>
      <c r="AC5" s="5"/>
      <c r="AD5" s="5" t="s">
        <v>186</v>
      </c>
      <c r="AF5" s="5" t="s">
        <v>186</v>
      </c>
      <c r="AH5" s="5" t="s">
        <v>186</v>
      </c>
      <c r="AJ5" s="5" t="s">
        <v>186</v>
      </c>
      <c r="AK5" s="5"/>
      <c r="AL5" s="5" t="s">
        <v>187</v>
      </c>
      <c r="AN5" s="5" t="s">
        <v>187</v>
      </c>
      <c r="AP5" s="5" t="s">
        <v>187</v>
      </c>
      <c r="AR5" s="5" t="s">
        <v>187</v>
      </c>
      <c r="AS5" s="5"/>
      <c r="AT5" s="5"/>
      <c r="AU5" s="5"/>
      <c r="AV5" s="5"/>
      <c r="AW5" s="5"/>
      <c r="AX5" s="5"/>
      <c r="AY5" s="5"/>
      <c r="AZ5" s="5"/>
      <c r="BA5" s="5"/>
      <c r="BB5" s="5" t="s">
        <v>188</v>
      </c>
      <c r="BC5" s="5"/>
      <c r="BD5" s="5" t="s">
        <v>188</v>
      </c>
      <c r="BE5" s="5"/>
      <c r="BF5" s="5" t="s">
        <v>188</v>
      </c>
      <c r="BG5" s="5"/>
      <c r="BH5" s="5" t="s">
        <v>188</v>
      </c>
    </row>
    <row r="6" spans="2:60" ht="12.75">
      <c r="B6" s="7" t="s">
        <v>160</v>
      </c>
      <c r="F6" s="5" t="s">
        <v>75</v>
      </c>
      <c r="G6" s="5"/>
      <c r="H6" s="5" t="s">
        <v>75</v>
      </c>
      <c r="I6" s="5"/>
      <c r="J6" s="5" t="s">
        <v>75</v>
      </c>
      <c r="K6" s="5"/>
      <c r="L6" s="5" t="s">
        <v>75</v>
      </c>
      <c r="M6" s="5"/>
      <c r="N6" s="5" t="s">
        <v>127</v>
      </c>
      <c r="P6" s="5" t="s">
        <v>127</v>
      </c>
      <c r="R6" s="5" t="s">
        <v>127</v>
      </c>
      <c r="T6" s="5" t="s">
        <v>127</v>
      </c>
      <c r="U6" s="5"/>
      <c r="V6" s="5" t="s">
        <v>103</v>
      </c>
      <c r="W6" s="5"/>
      <c r="X6" s="5" t="s">
        <v>103</v>
      </c>
      <c r="Y6" s="5"/>
      <c r="Z6" s="5" t="s">
        <v>103</v>
      </c>
      <c r="AA6" s="5"/>
      <c r="AB6" s="5" t="s">
        <v>103</v>
      </c>
      <c r="AC6" s="5"/>
      <c r="AD6" s="5" t="s">
        <v>27</v>
      </c>
      <c r="AF6" s="5" t="s">
        <v>27</v>
      </c>
      <c r="AH6" s="5" t="s">
        <v>27</v>
      </c>
      <c r="AJ6" s="5" t="s">
        <v>27</v>
      </c>
      <c r="AK6" s="5"/>
      <c r="AL6" s="5" t="s">
        <v>161</v>
      </c>
      <c r="AN6" s="5" t="s">
        <v>161</v>
      </c>
      <c r="AP6" s="5" t="s">
        <v>161</v>
      </c>
      <c r="AR6" s="5" t="s">
        <v>161</v>
      </c>
      <c r="AS6" s="5"/>
      <c r="AT6" s="5"/>
      <c r="AU6" s="5"/>
      <c r="AV6" s="5"/>
      <c r="AW6" s="5"/>
      <c r="AX6" s="5"/>
      <c r="AY6" s="5"/>
      <c r="AZ6" s="5"/>
      <c r="BA6" s="5"/>
      <c r="BB6" s="5" t="s">
        <v>23</v>
      </c>
      <c r="BC6" s="5"/>
      <c r="BD6" s="5" t="s">
        <v>23</v>
      </c>
      <c r="BE6" s="5"/>
      <c r="BF6" s="5" t="s">
        <v>23</v>
      </c>
      <c r="BG6" s="5"/>
      <c r="BH6" s="5" t="s">
        <v>23</v>
      </c>
    </row>
    <row r="7" spans="2:60" ht="12.75">
      <c r="B7" s="7" t="s">
        <v>181</v>
      </c>
      <c r="F7" s="5" t="s">
        <v>75</v>
      </c>
      <c r="G7" s="5"/>
      <c r="H7" s="5" t="s">
        <v>75</v>
      </c>
      <c r="I7" s="5"/>
      <c r="J7" s="5" t="s">
        <v>75</v>
      </c>
      <c r="K7" s="5"/>
      <c r="L7" s="5" t="s">
        <v>75</v>
      </c>
      <c r="M7" s="5"/>
      <c r="N7" s="5" t="s">
        <v>182</v>
      </c>
      <c r="P7" s="5" t="s">
        <v>182</v>
      </c>
      <c r="R7" s="5" t="s">
        <v>182</v>
      </c>
      <c r="T7" s="5" t="s">
        <v>182</v>
      </c>
      <c r="U7" s="5"/>
      <c r="V7" s="5"/>
      <c r="W7" s="5"/>
      <c r="X7" s="5"/>
      <c r="Y7" s="5"/>
      <c r="Z7" s="5"/>
      <c r="AA7" s="5"/>
      <c r="AB7" s="5"/>
      <c r="AC7" s="5"/>
      <c r="AD7" s="5" t="s">
        <v>27</v>
      </c>
      <c r="AF7" s="5" t="s">
        <v>27</v>
      </c>
      <c r="AH7" s="5" t="s">
        <v>27</v>
      </c>
      <c r="AJ7" s="5" t="s">
        <v>27</v>
      </c>
      <c r="AK7" s="5"/>
      <c r="AR7" s="5"/>
      <c r="AS7" s="5"/>
      <c r="AT7" s="5" t="s">
        <v>36</v>
      </c>
      <c r="AU7" s="5"/>
      <c r="AV7" s="5" t="s">
        <v>36</v>
      </c>
      <c r="AW7" s="5"/>
      <c r="AX7" s="5" t="s">
        <v>36</v>
      </c>
      <c r="AY7" s="5"/>
      <c r="AZ7" s="5" t="s">
        <v>36</v>
      </c>
      <c r="BA7" s="5"/>
      <c r="BB7" s="5" t="s">
        <v>23</v>
      </c>
      <c r="BC7" s="5"/>
      <c r="BD7" s="5" t="s">
        <v>23</v>
      </c>
      <c r="BE7" s="5"/>
      <c r="BF7" s="5" t="s">
        <v>23</v>
      </c>
      <c r="BG7" s="5"/>
      <c r="BH7" s="5" t="s">
        <v>23</v>
      </c>
    </row>
    <row r="8" spans="2:60" ht="12.75">
      <c r="B8" s="7" t="s">
        <v>61</v>
      </c>
      <c r="F8" s="5" t="s">
        <v>75</v>
      </c>
      <c r="G8" s="5"/>
      <c r="H8" s="5" t="s">
        <v>75</v>
      </c>
      <c r="I8" s="5"/>
      <c r="J8" s="5" t="s">
        <v>75</v>
      </c>
      <c r="K8" s="5"/>
      <c r="L8" s="5" t="s">
        <v>75</v>
      </c>
      <c r="M8" s="5"/>
      <c r="N8" s="5" t="s">
        <v>74</v>
      </c>
      <c r="P8" s="5" t="s">
        <v>74</v>
      </c>
      <c r="R8" s="5" t="s">
        <v>74</v>
      </c>
      <c r="T8" s="5" t="s">
        <v>74</v>
      </c>
      <c r="U8" s="5"/>
      <c r="V8" s="5" t="s">
        <v>103</v>
      </c>
      <c r="W8" s="5"/>
      <c r="X8" s="5" t="s">
        <v>103</v>
      </c>
      <c r="Y8" s="5"/>
      <c r="Z8" s="5" t="s">
        <v>103</v>
      </c>
      <c r="AA8" s="5"/>
      <c r="AB8" s="5" t="s">
        <v>103</v>
      </c>
      <c r="AC8" s="5"/>
      <c r="AD8" s="5" t="s">
        <v>27</v>
      </c>
      <c r="AF8" s="5" t="s">
        <v>27</v>
      </c>
      <c r="AH8" s="5" t="s">
        <v>27</v>
      </c>
      <c r="AJ8" s="5" t="s">
        <v>27</v>
      </c>
      <c r="AK8" s="5"/>
      <c r="AL8" s="5" t="s">
        <v>93</v>
      </c>
      <c r="AN8" s="5" t="s">
        <v>93</v>
      </c>
      <c r="AP8" s="5" t="s">
        <v>93</v>
      </c>
      <c r="AR8" s="5" t="s">
        <v>93</v>
      </c>
      <c r="AS8" s="5"/>
      <c r="AT8" s="5"/>
      <c r="AU8" s="5"/>
      <c r="AV8" s="5"/>
      <c r="AW8" s="5"/>
      <c r="AX8" s="5"/>
      <c r="AY8" s="5"/>
      <c r="AZ8" s="5"/>
      <c r="BA8" s="5"/>
      <c r="BB8" s="5" t="s">
        <v>23</v>
      </c>
      <c r="BC8" s="5"/>
      <c r="BD8" s="5" t="s">
        <v>23</v>
      </c>
      <c r="BE8" s="5"/>
      <c r="BF8" s="5" t="s">
        <v>23</v>
      </c>
      <c r="BG8" s="5"/>
      <c r="BH8" s="5" t="s">
        <v>23</v>
      </c>
    </row>
    <row r="9" spans="2:57" ht="12.75">
      <c r="B9" s="7" t="s">
        <v>65</v>
      </c>
      <c r="D9" s="7" t="s">
        <v>73</v>
      </c>
      <c r="F9" s="57">
        <v>635000</v>
      </c>
      <c r="G9" s="57"/>
      <c r="H9" s="57">
        <v>635000</v>
      </c>
      <c r="I9" s="57"/>
      <c r="J9" s="57">
        <v>635000</v>
      </c>
      <c r="K9" s="57"/>
      <c r="L9" s="57">
        <f aca="true" t="shared" si="0" ref="L9:L21">AVERAGE(F9:J9)</f>
        <v>635000</v>
      </c>
      <c r="M9" s="57"/>
      <c r="N9" s="57">
        <v>57000000</v>
      </c>
      <c r="O9" s="57"/>
      <c r="P9" s="57">
        <v>55100000</v>
      </c>
      <c r="Q9" s="57"/>
      <c r="R9" s="57">
        <v>55600000</v>
      </c>
      <c r="S9" s="57"/>
      <c r="T9" s="57">
        <f aca="true" t="shared" si="1" ref="T9:T21">AVERAGE(N9:R9)</f>
        <v>55900000</v>
      </c>
      <c r="U9" s="57"/>
      <c r="V9" s="57">
        <v>0</v>
      </c>
      <c r="W9" s="57"/>
      <c r="X9" s="57">
        <v>907000</v>
      </c>
      <c r="Y9" s="57"/>
      <c r="Z9" s="57">
        <v>998000</v>
      </c>
      <c r="AA9" s="57"/>
      <c r="AB9" s="57">
        <f>AVERAGE(V9:Z9)</f>
        <v>635000</v>
      </c>
      <c r="AC9" s="57"/>
      <c r="AD9" s="57">
        <v>227000</v>
      </c>
      <c r="AE9" s="57"/>
      <c r="AF9" s="57">
        <v>181000</v>
      </c>
      <c r="AG9" s="57"/>
      <c r="AH9" s="57">
        <v>215000</v>
      </c>
      <c r="AI9" s="57"/>
      <c r="AJ9" s="57"/>
      <c r="AK9" s="57"/>
      <c r="AL9" s="57">
        <v>6820000</v>
      </c>
      <c r="AM9" s="57"/>
      <c r="AN9" s="57">
        <v>6650000</v>
      </c>
      <c r="AO9" s="57"/>
      <c r="AP9" s="57">
        <v>6450000</v>
      </c>
      <c r="AQ9" s="57"/>
      <c r="AR9" s="57">
        <f aca="true" t="shared" si="2" ref="AR9:AR21">AVERAGE(AL9:AP9)</f>
        <v>6640000</v>
      </c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2:60" ht="12.75">
      <c r="B10" s="7" t="s">
        <v>63</v>
      </c>
      <c r="D10" s="7" t="s">
        <v>33</v>
      </c>
      <c r="F10" s="58">
        <v>18.8</v>
      </c>
      <c r="G10" s="58"/>
      <c r="H10" s="58">
        <v>18.8</v>
      </c>
      <c r="I10" s="58"/>
      <c r="J10" s="58">
        <v>45.2</v>
      </c>
      <c r="K10" s="58"/>
      <c r="L10" s="58">
        <f t="shared" si="0"/>
        <v>27.600000000000005</v>
      </c>
      <c r="M10" s="35"/>
      <c r="N10">
        <v>0</v>
      </c>
      <c r="O10"/>
      <c r="P10">
        <v>0</v>
      </c>
      <c r="Q10"/>
      <c r="R10">
        <v>0</v>
      </c>
      <c r="S10"/>
      <c r="T10" s="58">
        <f t="shared" si="1"/>
        <v>0</v>
      </c>
      <c r="U10" s="35"/>
      <c r="V10" s="36">
        <v>0</v>
      </c>
      <c r="W10" s="36"/>
      <c r="X10" s="36">
        <v>0</v>
      </c>
      <c r="Y10" s="36"/>
      <c r="Z10" s="36">
        <v>0</v>
      </c>
      <c r="AA10" s="36"/>
      <c r="AB10" s="1">
        <f aca="true" t="shared" si="3" ref="AB10:AB21">AVERAGE(V10:Z10)</f>
        <v>0</v>
      </c>
      <c r="AC10" s="35"/>
      <c r="AD10"/>
      <c r="AE10"/>
      <c r="AF10"/>
      <c r="AG10"/>
      <c r="AH10"/>
      <c r="AI10"/>
      <c r="AJ10"/>
      <c r="AK10"/>
      <c r="AL10">
        <v>155</v>
      </c>
      <c r="AM10"/>
      <c r="AN10">
        <v>149</v>
      </c>
      <c r="AO10"/>
      <c r="AP10">
        <v>144</v>
      </c>
      <c r="AQ10"/>
      <c r="AR10" s="57">
        <f t="shared" si="2"/>
        <v>149.33333333333334</v>
      </c>
      <c r="AS10" s="35"/>
      <c r="AT10" s="57">
        <f>AL10</f>
        <v>155</v>
      </c>
      <c r="AU10" s="57"/>
      <c r="AV10" s="57">
        <f>AN10</f>
        <v>149</v>
      </c>
      <c r="AW10" s="57"/>
      <c r="AX10" s="57">
        <f>AP10</f>
        <v>144</v>
      </c>
      <c r="AY10" s="57"/>
      <c r="AZ10" s="57">
        <f>AR10</f>
        <v>149.33333333333334</v>
      </c>
      <c r="BA10" s="57"/>
      <c r="BB10" s="60">
        <f>N10+F10+AL10+AD10+V10</f>
        <v>173.8</v>
      </c>
      <c r="BC10" s="57"/>
      <c r="BD10" s="60">
        <f>P10+H10+AN10+AF10+X10</f>
        <v>167.8</v>
      </c>
      <c r="BE10" s="57"/>
      <c r="BF10" s="60">
        <f>R10+J10+AP10+AH10+Z10</f>
        <v>189.2</v>
      </c>
      <c r="BG10" s="59"/>
      <c r="BH10" s="60">
        <f>T10+L10+AR10+AJ10+AB10</f>
        <v>176.93333333333334</v>
      </c>
    </row>
    <row r="11" spans="2:59" ht="12.75">
      <c r="B11" s="7" t="s">
        <v>22</v>
      </c>
      <c r="D11" s="7" t="s">
        <v>73</v>
      </c>
      <c r="F11" s="58">
        <v>468</v>
      </c>
      <c r="G11" s="58"/>
      <c r="H11" s="58">
        <v>327</v>
      </c>
      <c r="I11" s="58"/>
      <c r="J11" s="58">
        <v>617</v>
      </c>
      <c r="K11" s="58"/>
      <c r="L11" s="58">
        <f t="shared" si="0"/>
        <v>470.6666666666667</v>
      </c>
      <c r="M11" s="35"/>
      <c r="N11">
        <v>0</v>
      </c>
      <c r="O11"/>
      <c r="P11" s="13">
        <v>9470</v>
      </c>
      <c r="Q11" s="13"/>
      <c r="R11">
        <v>8620</v>
      </c>
      <c r="S11"/>
      <c r="T11" s="58">
        <f t="shared" si="1"/>
        <v>6030</v>
      </c>
      <c r="U11" s="35"/>
      <c r="V11" s="36">
        <v>0</v>
      </c>
      <c r="W11" s="36"/>
      <c r="X11" s="36">
        <v>19.1</v>
      </c>
      <c r="Y11" s="36"/>
      <c r="Z11" s="36">
        <v>20.3</v>
      </c>
      <c r="AA11" s="36"/>
      <c r="AB11" s="1">
        <f t="shared" si="3"/>
        <v>13.133333333333335</v>
      </c>
      <c r="AC11" s="35"/>
      <c r="AD11" s="57">
        <v>174000</v>
      </c>
      <c r="AE11" s="57"/>
      <c r="AF11" s="57">
        <v>130000</v>
      </c>
      <c r="AG11" s="57"/>
      <c r="AH11" s="57">
        <v>159000</v>
      </c>
      <c r="AI11" s="57"/>
      <c r="AJ11" s="57">
        <f>AVERAGE(AD11:AH11)</f>
        <v>154333.33333333334</v>
      </c>
      <c r="AK11" s="35"/>
      <c r="AL11">
        <v>39000</v>
      </c>
      <c r="AM11"/>
      <c r="AN11" s="57">
        <v>81800</v>
      </c>
      <c r="AO11" s="35"/>
      <c r="AP11">
        <v>81900</v>
      </c>
      <c r="AQ11"/>
      <c r="AR11" s="57">
        <f t="shared" si="2"/>
        <v>67566.66666666667</v>
      </c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0"/>
      <c r="BG11" s="30"/>
    </row>
    <row r="12" spans="2:59" ht="12.75">
      <c r="B12" s="7" t="s">
        <v>56</v>
      </c>
      <c r="D12" s="7" t="s">
        <v>73</v>
      </c>
      <c r="F12" s="58">
        <v>0.56</v>
      </c>
      <c r="G12" s="58"/>
      <c r="H12" s="58">
        <v>0.27</v>
      </c>
      <c r="I12" s="58"/>
      <c r="J12" s="58">
        <v>0.154</v>
      </c>
      <c r="K12" s="58"/>
      <c r="L12" s="58">
        <f t="shared" si="0"/>
        <v>0.328</v>
      </c>
      <c r="M12" s="35"/>
      <c r="N12">
        <v>49</v>
      </c>
      <c r="O12"/>
      <c r="P12">
        <v>55.1</v>
      </c>
      <c r="Q12"/>
      <c r="R12">
        <v>55.6</v>
      </c>
      <c r="S12"/>
      <c r="T12" s="58">
        <f t="shared" si="1"/>
        <v>53.23333333333333</v>
      </c>
      <c r="U12" s="35"/>
      <c r="V12" s="36">
        <v>0</v>
      </c>
      <c r="W12" s="36"/>
      <c r="X12" s="36">
        <v>0.91</v>
      </c>
      <c r="Y12" s="36"/>
      <c r="Z12" s="36">
        <v>0.998</v>
      </c>
      <c r="AA12" s="36"/>
      <c r="AB12" s="1">
        <f t="shared" si="3"/>
        <v>0.636</v>
      </c>
      <c r="AC12" s="35"/>
      <c r="AD12" s="57"/>
      <c r="AE12" s="57"/>
      <c r="AF12" s="57"/>
      <c r="AG12" s="57"/>
      <c r="AH12" s="57"/>
      <c r="AI12" s="57"/>
      <c r="AJ12" s="57"/>
      <c r="AK12"/>
      <c r="AL12">
        <v>149</v>
      </c>
      <c r="AM12"/>
      <c r="AN12">
        <v>519</v>
      </c>
      <c r="AO12"/>
      <c r="AP12">
        <v>2.71</v>
      </c>
      <c r="AQ12"/>
      <c r="AR12" s="57">
        <f t="shared" si="2"/>
        <v>223.57000000000002</v>
      </c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0"/>
      <c r="BG12" s="30"/>
    </row>
    <row r="13" spans="2:59" ht="12.75">
      <c r="B13" s="7" t="s">
        <v>52</v>
      </c>
      <c r="D13" s="7" t="s">
        <v>73</v>
      </c>
      <c r="F13" s="58">
        <v>9.59</v>
      </c>
      <c r="G13" s="58"/>
      <c r="H13" s="58">
        <v>20.1</v>
      </c>
      <c r="I13" s="58"/>
      <c r="J13" s="58">
        <v>29.3</v>
      </c>
      <c r="K13" s="58"/>
      <c r="L13" s="58">
        <f t="shared" si="0"/>
        <v>19.663333333333334</v>
      </c>
      <c r="M13" s="35"/>
      <c r="N13">
        <v>216</v>
      </c>
      <c r="O13"/>
      <c r="P13">
        <v>771</v>
      </c>
      <c r="Q13"/>
      <c r="R13">
        <v>779</v>
      </c>
      <c r="S13"/>
      <c r="T13" s="58">
        <f t="shared" si="1"/>
        <v>588.6666666666666</v>
      </c>
      <c r="U13" s="35"/>
      <c r="V13" s="36">
        <v>0</v>
      </c>
      <c r="W13" s="36"/>
      <c r="X13" s="36">
        <v>7.89</v>
      </c>
      <c r="Y13" s="36"/>
      <c r="Z13" s="36">
        <v>7.68</v>
      </c>
      <c r="AA13" s="36"/>
      <c r="AB13" s="1">
        <f t="shared" si="3"/>
        <v>5.19</v>
      </c>
      <c r="AC13" s="35"/>
      <c r="AD13" s="57">
        <v>3780</v>
      </c>
      <c r="AE13" s="57"/>
      <c r="AF13" s="57">
        <v>3920</v>
      </c>
      <c r="AG13" s="57"/>
      <c r="AH13" s="57">
        <v>4230</v>
      </c>
      <c r="AI13" s="57"/>
      <c r="AJ13" s="57">
        <f>AVERAGE(AD13:AH13)</f>
        <v>3976.6666666666665</v>
      </c>
      <c r="AK13" s="35"/>
      <c r="AL13">
        <v>0</v>
      </c>
      <c r="AM13"/>
      <c r="AN13">
        <v>17.3</v>
      </c>
      <c r="AO13"/>
      <c r="AP13">
        <v>4.52</v>
      </c>
      <c r="AQ13"/>
      <c r="AR13" s="57">
        <f t="shared" si="2"/>
        <v>7.273333333333333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0"/>
      <c r="BG13" s="30"/>
    </row>
    <row r="14" spans="2:59" ht="12.75">
      <c r="B14" s="7" t="s">
        <v>53</v>
      </c>
      <c r="D14" s="7" t="s">
        <v>73</v>
      </c>
      <c r="F14" s="58">
        <v>51.5</v>
      </c>
      <c r="G14" s="58"/>
      <c r="H14" s="58">
        <v>120</v>
      </c>
      <c r="I14" s="58"/>
      <c r="J14" s="58">
        <v>154</v>
      </c>
      <c r="K14" s="58"/>
      <c r="L14" s="58">
        <f t="shared" si="0"/>
        <v>108.5</v>
      </c>
      <c r="M14" s="35"/>
      <c r="N14">
        <v>518</v>
      </c>
      <c r="O14"/>
      <c r="P14">
        <v>3910</v>
      </c>
      <c r="Q14"/>
      <c r="R14">
        <v>4060</v>
      </c>
      <c r="S14"/>
      <c r="T14" s="58">
        <f t="shared" si="1"/>
        <v>2829.3333333333335</v>
      </c>
      <c r="U14" s="35"/>
      <c r="V14" s="36">
        <v>0</v>
      </c>
      <c r="W14" s="36"/>
      <c r="X14" s="36">
        <v>363</v>
      </c>
      <c r="Y14" s="36"/>
      <c r="Z14" s="36">
        <v>439</v>
      </c>
      <c r="AA14" s="36"/>
      <c r="AB14" s="1">
        <f t="shared" si="3"/>
        <v>267.3333333333333</v>
      </c>
      <c r="AC14" s="35"/>
      <c r="AD14" s="57"/>
      <c r="AE14" s="57"/>
      <c r="AF14" s="57"/>
      <c r="AG14" s="57"/>
      <c r="AH14" s="57"/>
      <c r="AI14" s="57"/>
      <c r="AJ14" s="57"/>
      <c r="AK14"/>
      <c r="AL14">
        <v>557</v>
      </c>
      <c r="AM14"/>
      <c r="AN14">
        <v>17.6</v>
      </c>
      <c r="AO14"/>
      <c r="AP14">
        <v>41.9</v>
      </c>
      <c r="AQ14"/>
      <c r="AR14" s="57">
        <f t="shared" si="2"/>
        <v>205.5</v>
      </c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0"/>
      <c r="BG14" s="30"/>
    </row>
    <row r="15" spans="2:59" ht="12.75">
      <c r="B15" s="7" t="s">
        <v>54</v>
      </c>
      <c r="D15" s="7" t="s">
        <v>73</v>
      </c>
      <c r="F15" s="58">
        <v>0.375</v>
      </c>
      <c r="G15" s="58"/>
      <c r="H15" s="58">
        <v>1.91</v>
      </c>
      <c r="I15" s="58"/>
      <c r="J15" s="58">
        <v>2.62</v>
      </c>
      <c r="K15" s="58"/>
      <c r="L15" s="58">
        <f t="shared" si="0"/>
        <v>1.635</v>
      </c>
      <c r="M15" s="35"/>
      <c r="N15">
        <v>0</v>
      </c>
      <c r="O15"/>
      <c r="P15">
        <v>0</v>
      </c>
      <c r="Q15"/>
      <c r="R15">
        <v>0</v>
      </c>
      <c r="S15"/>
      <c r="T15" s="58">
        <f t="shared" si="1"/>
        <v>0</v>
      </c>
      <c r="U15" s="35"/>
      <c r="V15" s="36">
        <v>0</v>
      </c>
      <c r="W15" s="36"/>
      <c r="X15" s="36">
        <v>0</v>
      </c>
      <c r="Y15" s="36"/>
      <c r="Z15" s="36">
        <v>0.998</v>
      </c>
      <c r="AA15" s="36"/>
      <c r="AB15" s="1">
        <f t="shared" si="3"/>
        <v>0.33266666666666667</v>
      </c>
      <c r="AC15" s="35"/>
      <c r="AD15" s="57">
        <v>254</v>
      </c>
      <c r="AE15" s="57"/>
      <c r="AF15" s="57">
        <v>259</v>
      </c>
      <c r="AG15" s="57"/>
      <c r="AH15" s="57">
        <v>259</v>
      </c>
      <c r="AI15" s="57"/>
      <c r="AJ15" s="57">
        <f>AVERAGE(AD15:AH15)</f>
        <v>257.3333333333333</v>
      </c>
      <c r="AK15" s="35"/>
      <c r="AL15">
        <v>0</v>
      </c>
      <c r="AM15"/>
      <c r="AN15">
        <v>0</v>
      </c>
      <c r="AO15"/>
      <c r="AP15">
        <v>0</v>
      </c>
      <c r="AQ15"/>
      <c r="AR15" s="58">
        <f t="shared" si="2"/>
        <v>0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0"/>
      <c r="BG15" s="30"/>
    </row>
    <row r="16" spans="2:59" ht="12.75">
      <c r="B16" s="7" t="s">
        <v>58</v>
      </c>
      <c r="D16" s="7" t="s">
        <v>73</v>
      </c>
      <c r="F16" s="58">
        <v>0</v>
      </c>
      <c r="G16" s="58"/>
      <c r="H16" s="58">
        <v>0.11</v>
      </c>
      <c r="I16" s="58"/>
      <c r="J16" s="58">
        <v>0.154</v>
      </c>
      <c r="K16" s="58"/>
      <c r="L16" s="58">
        <f t="shared" si="0"/>
        <v>0.08800000000000001</v>
      </c>
      <c r="M16" s="35"/>
      <c r="N16">
        <v>0</v>
      </c>
      <c r="O16"/>
      <c r="P16">
        <v>0</v>
      </c>
      <c r="Q16"/>
      <c r="R16">
        <v>0</v>
      </c>
      <c r="S16"/>
      <c r="T16" s="58">
        <f t="shared" si="1"/>
        <v>0</v>
      </c>
      <c r="U16" s="35"/>
      <c r="V16" s="36">
        <v>0</v>
      </c>
      <c r="W16" s="36"/>
      <c r="X16" s="36">
        <v>0.998</v>
      </c>
      <c r="Y16" s="36"/>
      <c r="Z16" s="36">
        <v>1.1</v>
      </c>
      <c r="AA16" s="36"/>
      <c r="AB16" s="1">
        <f t="shared" si="3"/>
        <v>0.6993333333333333</v>
      </c>
      <c r="AC16" s="35"/>
      <c r="AD16" s="57">
        <v>2030</v>
      </c>
      <c r="AE16" s="57"/>
      <c r="AF16" s="57">
        <v>2120</v>
      </c>
      <c r="AG16" s="57"/>
      <c r="AH16" s="57">
        <v>2240</v>
      </c>
      <c r="AI16" s="57"/>
      <c r="AJ16" s="57">
        <f>AVERAGE(AD16:AH16)</f>
        <v>2130</v>
      </c>
      <c r="AK16" s="35"/>
      <c r="AL16">
        <v>0</v>
      </c>
      <c r="AM16"/>
      <c r="AN16">
        <v>0.665</v>
      </c>
      <c r="AO16"/>
      <c r="AP16">
        <v>0</v>
      </c>
      <c r="AQ16"/>
      <c r="AR16" s="58">
        <f t="shared" si="2"/>
        <v>0.22166666666666668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0"/>
      <c r="BG16" s="30"/>
    </row>
    <row r="17" spans="2:59" ht="12.75">
      <c r="B17" s="7" t="s">
        <v>60</v>
      </c>
      <c r="D17" s="7" t="s">
        <v>73</v>
      </c>
      <c r="F17" s="58">
        <v>4.38</v>
      </c>
      <c r="G17" s="58"/>
      <c r="H17" s="58">
        <v>9.91</v>
      </c>
      <c r="I17" s="58"/>
      <c r="J17" s="58">
        <v>13.3</v>
      </c>
      <c r="K17" s="58"/>
      <c r="L17" s="58">
        <f t="shared" si="0"/>
        <v>9.196666666666667</v>
      </c>
      <c r="M17" s="35"/>
      <c r="N17">
        <v>137</v>
      </c>
      <c r="O17"/>
      <c r="P17">
        <v>716</v>
      </c>
      <c r="Q17"/>
      <c r="R17">
        <v>834</v>
      </c>
      <c r="S17"/>
      <c r="T17" s="58">
        <f t="shared" si="1"/>
        <v>562.3333333333334</v>
      </c>
      <c r="U17" s="35"/>
      <c r="V17" s="36">
        <v>0</v>
      </c>
      <c r="W17" s="36"/>
      <c r="X17" s="36">
        <v>907</v>
      </c>
      <c r="Y17" s="36"/>
      <c r="Z17" s="36">
        <v>1300</v>
      </c>
      <c r="AA17" s="36"/>
      <c r="AB17" s="1">
        <f t="shared" si="3"/>
        <v>735.6666666666666</v>
      </c>
      <c r="AC17" s="35"/>
      <c r="AD17" s="57">
        <v>25500</v>
      </c>
      <c r="AE17" s="57"/>
      <c r="AF17" s="57">
        <v>27200</v>
      </c>
      <c r="AG17" s="57"/>
      <c r="AH17" s="57">
        <v>28800</v>
      </c>
      <c r="AI17" s="57"/>
      <c r="AJ17" s="57">
        <f>AVERAGE(AD17:AH17)</f>
        <v>27166.666666666668</v>
      </c>
      <c r="AK17" s="35"/>
      <c r="AL17">
        <v>208</v>
      </c>
      <c r="AM17"/>
      <c r="AN17">
        <v>40.2</v>
      </c>
      <c r="AO17"/>
      <c r="AP17">
        <v>41.3</v>
      </c>
      <c r="AQ17"/>
      <c r="AR17" s="57">
        <f t="shared" si="2"/>
        <v>96.5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0"/>
      <c r="BG17" s="30"/>
    </row>
    <row r="18" spans="2:59" ht="12.75">
      <c r="B18" s="7" t="s">
        <v>57</v>
      </c>
      <c r="D18" s="7" t="s">
        <v>73</v>
      </c>
      <c r="F18" s="58">
        <v>3.94</v>
      </c>
      <c r="G18" s="58"/>
      <c r="H18" s="58">
        <v>10.7</v>
      </c>
      <c r="I18" s="58"/>
      <c r="J18" s="58">
        <v>11.3</v>
      </c>
      <c r="K18" s="58"/>
      <c r="L18" s="58">
        <f t="shared" si="0"/>
        <v>8.646666666666667</v>
      </c>
      <c r="M18" s="35"/>
      <c r="N18">
        <v>0</v>
      </c>
      <c r="O18"/>
      <c r="P18">
        <v>182</v>
      </c>
      <c r="Q18"/>
      <c r="R18">
        <v>195</v>
      </c>
      <c r="S18"/>
      <c r="T18" s="58">
        <f t="shared" si="1"/>
        <v>125.66666666666667</v>
      </c>
      <c r="U18" s="35"/>
      <c r="V18" s="36">
        <v>0</v>
      </c>
      <c r="W18" s="36"/>
      <c r="X18" s="36">
        <v>87.1</v>
      </c>
      <c r="Y18" s="36"/>
      <c r="Z18" s="36">
        <v>94.8</v>
      </c>
      <c r="AA18" s="36"/>
      <c r="AB18" s="1">
        <f t="shared" si="3"/>
        <v>60.633333333333326</v>
      </c>
      <c r="AC18" s="35"/>
      <c r="AD18" s="57">
        <v>21000</v>
      </c>
      <c r="AE18" s="57"/>
      <c r="AF18" s="57">
        <v>17200</v>
      </c>
      <c r="AG18" s="57"/>
      <c r="AH18" s="57">
        <v>20500</v>
      </c>
      <c r="AI18" s="57"/>
      <c r="AJ18" s="57">
        <f>AVERAGE(AD18:AH18)</f>
        <v>19566.666666666668</v>
      </c>
      <c r="AK18" s="35"/>
      <c r="AL18">
        <v>737</v>
      </c>
      <c r="AM18"/>
      <c r="AN18">
        <v>18</v>
      </c>
      <c r="AO18"/>
      <c r="AP18">
        <v>18.1</v>
      </c>
      <c r="AQ18"/>
      <c r="AR18" s="57">
        <f t="shared" si="2"/>
        <v>257.7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0"/>
      <c r="BG18" s="30"/>
    </row>
    <row r="19" spans="2:60" ht="12.75">
      <c r="B19" s="7" t="s">
        <v>64</v>
      </c>
      <c r="D19" s="7" t="s">
        <v>73</v>
      </c>
      <c r="F19" s="58">
        <v>0.0254</v>
      </c>
      <c r="G19" s="58"/>
      <c r="H19" s="58">
        <v>0.218</v>
      </c>
      <c r="I19" s="58"/>
      <c r="J19" s="58">
        <v>0.247</v>
      </c>
      <c r="K19" s="58"/>
      <c r="L19" s="58">
        <f t="shared" si="0"/>
        <v>0.16346666666666668</v>
      </c>
      <c r="M19" s="35"/>
      <c r="N19">
        <v>1.71</v>
      </c>
      <c r="O19"/>
      <c r="P19">
        <v>1.65</v>
      </c>
      <c r="Q19"/>
      <c r="R19">
        <v>1.67</v>
      </c>
      <c r="S19"/>
      <c r="T19" s="58">
        <f t="shared" si="1"/>
        <v>1.6766666666666665</v>
      </c>
      <c r="U19" s="35"/>
      <c r="V19" s="36">
        <v>0</v>
      </c>
      <c r="W19" s="36"/>
      <c r="X19" s="36">
        <v>0.91</v>
      </c>
      <c r="Y19" s="36"/>
      <c r="Z19" s="36">
        <v>0.0998</v>
      </c>
      <c r="AA19" s="36"/>
      <c r="AB19" s="1">
        <f t="shared" si="3"/>
        <v>0.3366</v>
      </c>
      <c r="AC19" s="35"/>
      <c r="AD19"/>
      <c r="AE19"/>
      <c r="AF19"/>
      <c r="AG19"/>
      <c r="AH19"/>
      <c r="AI19"/>
      <c r="AJ19"/>
      <c r="AK19"/>
      <c r="AL19" s="1">
        <v>0.478</v>
      </c>
      <c r="AM19" s="1"/>
      <c r="AN19" s="1">
        <v>0.266</v>
      </c>
      <c r="AO19" s="1"/>
      <c r="AP19" s="1">
        <v>0.323</v>
      </c>
      <c r="AQ19" s="1"/>
      <c r="AR19" s="1">
        <f t="shared" si="2"/>
        <v>0.35566666666666663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0"/>
      <c r="BG19" s="30"/>
      <c r="BH19" s="37">
        <f>T19+L19+AR19+AJ19+AB19</f>
        <v>2.5324</v>
      </c>
    </row>
    <row r="20" spans="2:59" ht="12.75">
      <c r="B20" s="7" t="s">
        <v>59</v>
      </c>
      <c r="D20" s="7" t="s">
        <v>73</v>
      </c>
      <c r="F20" s="58">
        <v>0.559</v>
      </c>
      <c r="G20" s="58"/>
      <c r="H20" s="58">
        <v>0.65</v>
      </c>
      <c r="I20" s="58"/>
      <c r="J20" s="58">
        <v>0.154</v>
      </c>
      <c r="K20" s="58"/>
      <c r="L20" s="58">
        <f t="shared" si="0"/>
        <v>0.4543333333333333</v>
      </c>
      <c r="M20" s="35"/>
      <c r="N20">
        <v>49</v>
      </c>
      <c r="O20"/>
      <c r="P20">
        <v>27.5</v>
      </c>
      <c r="Q20"/>
      <c r="R20">
        <v>27.8</v>
      </c>
      <c r="S20"/>
      <c r="T20" s="58">
        <f t="shared" si="1"/>
        <v>34.766666666666666</v>
      </c>
      <c r="U20" s="35"/>
      <c r="V20" s="36">
        <v>0</v>
      </c>
      <c r="W20" s="36"/>
      <c r="X20" s="36">
        <v>0.45</v>
      </c>
      <c r="Y20" s="36"/>
      <c r="Z20" s="36">
        <v>0.499</v>
      </c>
      <c r="AA20" s="36"/>
      <c r="AB20" s="1">
        <f t="shared" si="3"/>
        <v>0.31633333333333336</v>
      </c>
      <c r="AC20" s="35"/>
      <c r="AD20"/>
      <c r="AE20"/>
      <c r="AF20"/>
      <c r="AG20"/>
      <c r="AH20"/>
      <c r="AI20"/>
      <c r="AJ20"/>
      <c r="AK20"/>
      <c r="AL20" s="1">
        <v>5.59</v>
      </c>
      <c r="AM20" s="1"/>
      <c r="AN20" s="1">
        <v>1.66</v>
      </c>
      <c r="AO20" s="1"/>
      <c r="AP20" s="1">
        <v>0.645</v>
      </c>
      <c r="AQ20" s="1"/>
      <c r="AR20" s="1">
        <f t="shared" si="2"/>
        <v>2.6316666666666664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0"/>
      <c r="BG20" s="30"/>
    </row>
    <row r="21" spans="2:59" ht="12.75">
      <c r="B21" s="7" t="s">
        <v>55</v>
      </c>
      <c r="D21" s="7" t="s">
        <v>73</v>
      </c>
      <c r="F21" s="58">
        <v>0.21</v>
      </c>
      <c r="G21" s="58"/>
      <c r="H21" s="58">
        <v>0.599</v>
      </c>
      <c r="I21" s="58"/>
      <c r="J21" s="58">
        <v>0.93</v>
      </c>
      <c r="K21" s="58"/>
      <c r="L21" s="58">
        <f t="shared" si="0"/>
        <v>0.5796666666666667</v>
      </c>
      <c r="M21" s="35"/>
      <c r="N21">
        <v>9.12</v>
      </c>
      <c r="O21"/>
      <c r="P21">
        <v>55.1</v>
      </c>
      <c r="Q21"/>
      <c r="R21">
        <v>55.6</v>
      </c>
      <c r="S21"/>
      <c r="T21" s="58">
        <f t="shared" si="1"/>
        <v>39.94</v>
      </c>
      <c r="U21" s="35"/>
      <c r="V21" s="36">
        <v>0</v>
      </c>
      <c r="W21" s="36"/>
      <c r="X21" s="36">
        <v>0.91</v>
      </c>
      <c r="Y21" s="36"/>
      <c r="Z21" s="36">
        <v>0.998</v>
      </c>
      <c r="AA21" s="36"/>
      <c r="AB21" s="1">
        <f t="shared" si="3"/>
        <v>0.636</v>
      </c>
      <c r="AC21" s="35"/>
      <c r="AD21"/>
      <c r="AE21"/>
      <c r="AF21"/>
      <c r="AG21"/>
      <c r="AH21"/>
      <c r="AI21"/>
      <c r="AJ21"/>
      <c r="AK21"/>
      <c r="AL21" s="1">
        <v>1.16</v>
      </c>
      <c r="AM21" s="1"/>
      <c r="AN21" s="1">
        <v>1.33</v>
      </c>
      <c r="AO21" s="1"/>
      <c r="AP21" s="1">
        <v>1.29</v>
      </c>
      <c r="AQ21" s="1"/>
      <c r="AR21" s="1">
        <f t="shared" si="2"/>
        <v>1.26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0"/>
      <c r="BG21" s="30"/>
    </row>
    <row r="23" spans="2:60" ht="12.75">
      <c r="B23" s="7" t="s">
        <v>31</v>
      </c>
      <c r="D23" s="7" t="s">
        <v>16</v>
      </c>
      <c r="F23" s="59">
        <f>'emiss 1'!$G$32</f>
        <v>58158</v>
      </c>
      <c r="G23" s="59"/>
      <c r="H23" s="59">
        <f>'emiss 1'!$I$32</f>
        <v>70665</v>
      </c>
      <c r="I23" s="59"/>
      <c r="J23" s="59">
        <f>'emiss 1'!$K$32</f>
        <v>69215</v>
      </c>
      <c r="K23" s="59"/>
      <c r="L23" s="59">
        <f>'emiss 1'!$M$32</f>
        <v>66012.66666666667</v>
      </c>
      <c r="M23" s="59"/>
      <c r="N23" s="59">
        <f>'emiss 1'!$G$32</f>
        <v>58158</v>
      </c>
      <c r="O23" s="59"/>
      <c r="P23" s="59">
        <f>'emiss 1'!$I$32</f>
        <v>70665</v>
      </c>
      <c r="Q23" s="59"/>
      <c r="R23" s="59">
        <f>'emiss 1'!$K$32</f>
        <v>69215</v>
      </c>
      <c r="S23" s="59"/>
      <c r="T23" s="59">
        <f>'emiss 1'!$M$32</f>
        <v>66012.66666666667</v>
      </c>
      <c r="U23" s="59"/>
      <c r="V23" s="59">
        <f>'emiss 1'!$G$32</f>
        <v>58158</v>
      </c>
      <c r="W23" s="59"/>
      <c r="X23" s="59">
        <f>'emiss 1'!$I$32</f>
        <v>70665</v>
      </c>
      <c r="Y23" s="59"/>
      <c r="Z23" s="59">
        <f>'emiss 1'!$K$32</f>
        <v>69215</v>
      </c>
      <c r="AA23" s="59"/>
      <c r="AB23" s="59">
        <f>'emiss 1'!$M$32</f>
        <v>66012.66666666667</v>
      </c>
      <c r="AC23" s="59"/>
      <c r="AD23" s="59">
        <f>'emiss 1'!$G$32</f>
        <v>58158</v>
      </c>
      <c r="AE23" s="59"/>
      <c r="AF23" s="59">
        <f>'emiss 1'!$I$32</f>
        <v>70665</v>
      </c>
      <c r="AG23" s="59"/>
      <c r="AH23" s="59">
        <f>'emiss 1'!$K$32</f>
        <v>69215</v>
      </c>
      <c r="AI23" s="59"/>
      <c r="AJ23" s="59">
        <f>'emiss 1'!$M$32</f>
        <v>66012.66666666667</v>
      </c>
      <c r="AK23" s="59"/>
      <c r="AL23" s="59">
        <f>'emiss 1'!$G$32</f>
        <v>58158</v>
      </c>
      <c r="AM23" s="59"/>
      <c r="AN23" s="59">
        <f>'emiss 1'!$I$32</f>
        <v>70665</v>
      </c>
      <c r="AO23" s="59"/>
      <c r="AP23" s="59">
        <f>'emiss 1'!$K$32</f>
        <v>69215</v>
      </c>
      <c r="AQ23" s="59"/>
      <c r="AR23" s="59">
        <f>'emiss 1'!$M$32</f>
        <v>66012.66666666667</v>
      </c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H23" s="31"/>
    </row>
    <row r="24" spans="2:60" ht="12.75">
      <c r="B24" s="7" t="s">
        <v>32</v>
      </c>
      <c r="D24" s="7" t="s">
        <v>14</v>
      </c>
      <c r="F24" s="31">
        <f>'emiss 1'!$G$33</f>
        <v>6.6</v>
      </c>
      <c r="G24" s="31"/>
      <c r="H24" s="31">
        <f>'emiss 1'!$I$33</f>
        <v>8.2</v>
      </c>
      <c r="I24" s="31"/>
      <c r="J24" s="31">
        <f>'emiss 1'!$K$33</f>
        <v>9.1</v>
      </c>
      <c r="K24" s="31"/>
      <c r="L24" s="31">
        <f>'emiss 1'!$M$33</f>
        <v>7.966666666666666</v>
      </c>
      <c r="M24" s="31"/>
      <c r="N24" s="31">
        <f>'emiss 1'!$G$33</f>
        <v>6.6</v>
      </c>
      <c r="O24" s="31"/>
      <c r="P24" s="31">
        <f>'emiss 1'!$I$33</f>
        <v>8.2</v>
      </c>
      <c r="Q24" s="31"/>
      <c r="R24" s="31">
        <f>'emiss 1'!$K$33</f>
        <v>9.1</v>
      </c>
      <c r="S24" s="31"/>
      <c r="T24" s="31">
        <f>'emiss 1'!$M$33</f>
        <v>7.966666666666666</v>
      </c>
      <c r="U24" s="31"/>
      <c r="V24" s="31">
        <f>'emiss 1'!$G$33</f>
        <v>6.6</v>
      </c>
      <c r="W24" s="31"/>
      <c r="X24" s="31">
        <f>'emiss 1'!$I$33</f>
        <v>8.2</v>
      </c>
      <c r="Y24" s="31"/>
      <c r="Z24" s="31">
        <f>'emiss 1'!$K$33</f>
        <v>9.1</v>
      </c>
      <c r="AA24" s="31"/>
      <c r="AB24" s="31">
        <f>'emiss 1'!$M$33</f>
        <v>7.966666666666666</v>
      </c>
      <c r="AC24" s="31"/>
      <c r="AD24" s="31">
        <f>'emiss 1'!$G$33</f>
        <v>6.6</v>
      </c>
      <c r="AE24" s="31"/>
      <c r="AF24" s="31">
        <f>'emiss 1'!$I$33</f>
        <v>8.2</v>
      </c>
      <c r="AG24" s="31"/>
      <c r="AH24" s="31">
        <f>'emiss 1'!$K$33</f>
        <v>9.1</v>
      </c>
      <c r="AI24" s="31"/>
      <c r="AJ24" s="31">
        <f>'emiss 1'!$M$33</f>
        <v>7.966666666666666</v>
      </c>
      <c r="AK24" s="31"/>
      <c r="AL24" s="31">
        <f>'emiss 1'!$G$33</f>
        <v>6.6</v>
      </c>
      <c r="AM24" s="31"/>
      <c r="AN24" s="31">
        <f>'emiss 1'!$I$33</f>
        <v>8.2</v>
      </c>
      <c r="AO24" s="31"/>
      <c r="AP24" s="31">
        <f>'emiss 1'!$K$33</f>
        <v>9.1</v>
      </c>
      <c r="AQ24" s="31"/>
      <c r="AR24" s="31">
        <f>'emiss 1'!$M$33</f>
        <v>7.966666666666666</v>
      </c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H24" s="31"/>
    </row>
    <row r="25" ht="12.75">
      <c r="BH25" s="8"/>
    </row>
    <row r="26" spans="2:60" ht="12.75">
      <c r="B26" s="33" t="s">
        <v>43</v>
      </c>
      <c r="C26" s="33"/>
      <c r="BH26" s="8"/>
    </row>
    <row r="27" spans="2:60" ht="12.75">
      <c r="B27" s="7" t="s">
        <v>22</v>
      </c>
      <c r="D27" s="7" t="s">
        <v>29</v>
      </c>
      <c r="F27" s="61">
        <f aca="true" t="shared" si="4" ref="F27:J37">F11/F$23/60/0.0283*1000000*(21-7)/(21-F$24)</f>
        <v>4607.488369585457</v>
      </c>
      <c r="G27" s="61"/>
      <c r="H27" s="61">
        <f t="shared" si="4"/>
        <v>2980.737761582983</v>
      </c>
      <c r="I27" s="61"/>
      <c r="J27" s="61">
        <f t="shared" si="4"/>
        <v>6176.299238474817</v>
      </c>
      <c r="K27" s="61"/>
      <c r="L27" s="61">
        <f aca="true" t="shared" si="5" ref="L27:AR27">L11/L$23/60/0.0283*1000000*(21-7)/(21-L$24)</f>
        <v>4510.461831720525</v>
      </c>
      <c r="M27" s="61"/>
      <c r="N27" s="61">
        <f t="shared" si="5"/>
        <v>0</v>
      </c>
      <c r="O27" s="61"/>
      <c r="P27" s="61">
        <f t="shared" si="5"/>
        <v>86322.89480792308</v>
      </c>
      <c r="Q27" s="31"/>
      <c r="R27" s="31">
        <f t="shared" si="5"/>
        <v>86288.00556831916</v>
      </c>
      <c r="S27" s="31"/>
      <c r="T27" s="59">
        <f t="shared" si="5"/>
        <v>57786.299246334485</v>
      </c>
      <c r="U27" s="59"/>
      <c r="V27" s="59">
        <f t="shared" si="5"/>
        <v>0</v>
      </c>
      <c r="W27" s="59"/>
      <c r="X27" s="59">
        <f t="shared" si="5"/>
        <v>174.1042545756421</v>
      </c>
      <c r="Y27" s="59"/>
      <c r="Z27" s="59">
        <f t="shared" si="5"/>
        <v>203.2072520924453</v>
      </c>
      <c r="AA27" s="59"/>
      <c r="AB27" s="59">
        <f t="shared" si="5"/>
        <v>125.85849587095514</v>
      </c>
      <c r="AC27" s="59"/>
      <c r="AD27" s="59">
        <f t="shared" si="5"/>
        <v>1713040.5476663879</v>
      </c>
      <c r="AE27" s="59"/>
      <c r="AF27" s="59">
        <f t="shared" si="5"/>
        <v>1185002.7798342134</v>
      </c>
      <c r="AG27" s="59"/>
      <c r="AH27" s="59">
        <f t="shared" si="5"/>
        <v>1591623.304566444</v>
      </c>
      <c r="AI27" s="59"/>
      <c r="AJ27" s="59">
        <f t="shared" si="5"/>
        <v>1478997.0453871128</v>
      </c>
      <c r="AK27" s="59"/>
      <c r="AL27" s="59">
        <f t="shared" si="5"/>
        <v>383957.36413212144</v>
      </c>
      <c r="AM27" s="59"/>
      <c r="AN27" s="59">
        <f t="shared" si="5"/>
        <v>745640.210695682</v>
      </c>
      <c r="AO27" s="59"/>
      <c r="AP27" s="59">
        <f t="shared" si="5"/>
        <v>819836.1549936589</v>
      </c>
      <c r="AQ27" s="59"/>
      <c r="AR27" s="59">
        <f t="shared" si="5"/>
        <v>647500.4343411832</v>
      </c>
      <c r="AS27" s="59"/>
      <c r="AT27" s="59">
        <f>SUM(AL27,V27)</f>
        <v>383957.36413212144</v>
      </c>
      <c r="AU27" s="59"/>
      <c r="AV27" s="59">
        <f>SUM(AN27,X27)</f>
        <v>745814.3149502577</v>
      </c>
      <c r="AW27" s="59"/>
      <c r="AX27" s="59">
        <f>SUM(AP27,Z27)</f>
        <v>820039.3622457513</v>
      </c>
      <c r="AY27" s="59"/>
      <c r="AZ27" s="59">
        <f>SUM(AR27,AB27)</f>
        <v>647626.2928370541</v>
      </c>
      <c r="BA27" s="59"/>
      <c r="BB27" s="60">
        <f aca="true" t="shared" si="6" ref="BB27:BB37">N27+F27+AL27+AD27+V27</f>
        <v>2101605.400168095</v>
      </c>
      <c r="BC27" s="60"/>
      <c r="BD27" s="60">
        <f aca="true" t="shared" si="7" ref="BD27:BD37">P27+H27+AN27+AF27+X27</f>
        <v>2020120.7273539773</v>
      </c>
      <c r="BE27" s="60"/>
      <c r="BF27" s="60">
        <f aca="true" t="shared" si="8" ref="BF27:BF37">R27+J27+AP27+AH27+Z27</f>
        <v>2504126.9716189895</v>
      </c>
      <c r="BG27" s="60"/>
      <c r="BH27" s="60">
        <f aca="true" t="shared" si="9" ref="BH27:BH37">T27+L27+AR27+AJ27+AB27</f>
        <v>2188920.099302222</v>
      </c>
    </row>
    <row r="28" spans="2:60" ht="12.75">
      <c r="B28" s="7" t="s">
        <v>56</v>
      </c>
      <c r="D28" s="7" t="s">
        <v>29</v>
      </c>
      <c r="F28" s="61">
        <f t="shared" si="4"/>
        <v>5.513233946512513</v>
      </c>
      <c r="G28" s="61"/>
      <c r="H28" s="61">
        <f t="shared" si="4"/>
        <v>2.4611596196556738</v>
      </c>
      <c r="I28" s="61"/>
      <c r="J28" s="61">
        <f t="shared" si="4"/>
        <v>1.5415722572530337</v>
      </c>
      <c r="K28" s="61"/>
      <c r="L28" s="61">
        <f aca="true" t="shared" si="10" ref="L28:R37">L12/L$23/60/0.0283*1000000*(21-7)/(21-L$24)</f>
        <v>3.1432680187060886</v>
      </c>
      <c r="M28" s="61"/>
      <c r="N28" s="61">
        <f t="shared" si="10"/>
        <v>482.4079703198449</v>
      </c>
      <c r="O28" s="61"/>
      <c r="P28" s="61">
        <f t="shared" si="10"/>
        <v>502.25887052973195</v>
      </c>
      <c r="Q28" s="31"/>
      <c r="R28" s="31">
        <f t="shared" si="10"/>
        <v>556.5676461251212</v>
      </c>
      <c r="S28" s="31"/>
      <c r="T28" s="59">
        <f aca="true" t="shared" si="11" ref="T28:Z37">T12/T$23/60/0.0283*1000000*(21-7)/(21-T$24)</f>
        <v>510.1421774261811</v>
      </c>
      <c r="U28" s="59"/>
      <c r="V28" s="59">
        <f t="shared" si="11"/>
        <v>0</v>
      </c>
      <c r="W28" s="59"/>
      <c r="X28" s="59">
        <f t="shared" si="11"/>
        <v>8.295019458839494</v>
      </c>
      <c r="Y28" s="59"/>
      <c r="Z28" s="59">
        <f t="shared" si="11"/>
        <v>9.990189043756674</v>
      </c>
      <c r="AA28" s="59"/>
      <c r="AB28" s="59">
        <f aca="true" t="shared" si="12" ref="AB28:AH37">AB12/AB$23/60/0.0283*1000000*(21-7)/(21-AB$24)</f>
        <v>6.094873353344732</v>
      </c>
      <c r="AC28" s="59"/>
      <c r="AD28" s="59">
        <f t="shared" si="12"/>
        <v>0</v>
      </c>
      <c r="AE28" s="59"/>
      <c r="AF28" s="59">
        <f t="shared" si="12"/>
        <v>0</v>
      </c>
      <c r="AG28" s="59"/>
      <c r="AH28" s="59">
        <f t="shared" si="12"/>
        <v>0</v>
      </c>
      <c r="AI28" s="59"/>
      <c r="AJ28" s="59">
        <f aca="true" t="shared" si="13" ref="AJ28:AP37">AJ12/AJ$23/60/0.0283*1000000*(21-7)/(21-AJ$24)</f>
        <v>0</v>
      </c>
      <c r="AK28" s="59"/>
      <c r="AL28" s="59">
        <f t="shared" si="13"/>
        <v>1466.9140321970792</v>
      </c>
      <c r="AM28" s="59"/>
      <c r="AN28" s="59">
        <f t="shared" si="13"/>
        <v>4730.895713338128</v>
      </c>
      <c r="AO28" s="59"/>
      <c r="AP28" s="59">
        <f t="shared" si="13"/>
        <v>27.127667643868318</v>
      </c>
      <c r="AQ28" s="59"/>
      <c r="AR28" s="59">
        <f aca="true" t="shared" si="14" ref="AR28:AR37">AR12/AR$23/60/0.0283*1000000*(21-7)/(21-AR$24)</f>
        <v>2142.5013138479276</v>
      </c>
      <c r="AS28" s="59"/>
      <c r="AT28" s="59">
        <f aca="true" t="shared" si="15" ref="AT28:AZ37">SUM(AL28,V28)</f>
        <v>1466.9140321970792</v>
      </c>
      <c r="AU28" s="59"/>
      <c r="AV28" s="59">
        <f t="shared" si="15"/>
        <v>4739.1907327969675</v>
      </c>
      <c r="AW28" s="59"/>
      <c r="AX28" s="59">
        <f t="shared" si="15"/>
        <v>37.11785668762499</v>
      </c>
      <c r="AY28" s="59"/>
      <c r="AZ28" s="59">
        <f t="shared" si="15"/>
        <v>2148.596187201272</v>
      </c>
      <c r="BA28" s="59"/>
      <c r="BB28" s="60">
        <f t="shared" si="6"/>
        <v>1954.8352364634366</v>
      </c>
      <c r="BC28" s="60"/>
      <c r="BD28" s="60">
        <f t="shared" si="7"/>
        <v>5243.910762946355</v>
      </c>
      <c r="BE28" s="60"/>
      <c r="BF28" s="60">
        <f t="shared" si="8"/>
        <v>595.2270750699993</v>
      </c>
      <c r="BG28" s="60"/>
      <c r="BH28" s="60">
        <f t="shared" si="9"/>
        <v>2661.8816326461592</v>
      </c>
    </row>
    <row r="29" spans="2:60" ht="12.75">
      <c r="B29" s="7" t="s">
        <v>52</v>
      </c>
      <c r="D29" s="7" t="s">
        <v>29</v>
      </c>
      <c r="F29" s="61">
        <f t="shared" si="4"/>
        <v>94.41413133402678</v>
      </c>
      <c r="G29" s="61"/>
      <c r="H29" s="61">
        <f t="shared" si="4"/>
        <v>183.21966057436686</v>
      </c>
      <c r="I29" s="61"/>
      <c r="J29" s="61">
        <f t="shared" si="4"/>
        <v>293.29913725658366</v>
      </c>
      <c r="K29" s="61"/>
      <c r="L29" s="61">
        <f t="shared" si="10"/>
        <v>188.43636221897575</v>
      </c>
      <c r="M29" s="61"/>
      <c r="N29" s="61">
        <f t="shared" si="10"/>
        <v>2126.5330936548266</v>
      </c>
      <c r="O29" s="61"/>
      <c r="P29" s="61">
        <f t="shared" si="10"/>
        <v>7027.978025016758</v>
      </c>
      <c r="Q29" s="31"/>
      <c r="R29" s="31">
        <f t="shared" si="10"/>
        <v>7797.953171429307</v>
      </c>
      <c r="S29" s="31"/>
      <c r="T29" s="59">
        <f t="shared" si="11"/>
        <v>5641.271667718446</v>
      </c>
      <c r="U29" s="59"/>
      <c r="V29" s="59">
        <f t="shared" si="11"/>
        <v>0</v>
      </c>
      <c r="W29" s="59"/>
      <c r="X29" s="59">
        <f t="shared" si="11"/>
        <v>71.92055332993803</v>
      </c>
      <c r="Y29" s="59"/>
      <c r="Z29" s="59">
        <f t="shared" si="11"/>
        <v>76.87840867339806</v>
      </c>
      <c r="AA29" s="59"/>
      <c r="AB29" s="59">
        <f t="shared" si="12"/>
        <v>49.736466515501824</v>
      </c>
      <c r="AC29" s="59"/>
      <c r="AD29" s="59">
        <f t="shared" si="12"/>
        <v>37214.32913895946</v>
      </c>
      <c r="AE29" s="59"/>
      <c r="AF29" s="59">
        <f t="shared" si="12"/>
        <v>35732.39151500089</v>
      </c>
      <c r="AG29" s="59"/>
      <c r="AH29" s="59">
        <f t="shared" si="12"/>
        <v>42343.18602714503</v>
      </c>
      <c r="AI29" s="59"/>
      <c r="AJ29" s="59">
        <f t="shared" si="13"/>
        <v>38108.930348743525</v>
      </c>
      <c r="AK29" s="59"/>
      <c r="AL29" s="59">
        <f t="shared" si="13"/>
        <v>0</v>
      </c>
      <c r="AM29" s="59"/>
      <c r="AN29" s="59">
        <f t="shared" si="13"/>
        <v>157.69652377793767</v>
      </c>
      <c r="AO29" s="59"/>
      <c r="AP29" s="59">
        <f t="shared" si="13"/>
        <v>45.2461467713228</v>
      </c>
      <c r="AQ29" s="59"/>
      <c r="AR29" s="59">
        <f t="shared" si="14"/>
        <v>69.70132943919394</v>
      </c>
      <c r="AS29" s="59"/>
      <c r="AT29" s="59">
        <f t="shared" si="15"/>
        <v>0</v>
      </c>
      <c r="AU29" s="59"/>
      <c r="AV29" s="59">
        <f t="shared" si="15"/>
        <v>229.6170771078757</v>
      </c>
      <c r="AW29" s="59"/>
      <c r="AX29" s="59">
        <f t="shared" si="15"/>
        <v>122.12455544472085</v>
      </c>
      <c r="AY29" s="59"/>
      <c r="AZ29" s="59">
        <f t="shared" si="15"/>
        <v>119.43779595469576</v>
      </c>
      <c r="BA29" s="59"/>
      <c r="BB29" s="60">
        <f t="shared" si="6"/>
        <v>39435.27636394832</v>
      </c>
      <c r="BC29" s="60"/>
      <c r="BD29" s="60">
        <f t="shared" si="7"/>
        <v>43173.206277699894</v>
      </c>
      <c r="BE29" s="60"/>
      <c r="BF29" s="60">
        <f t="shared" si="8"/>
        <v>50556.562891275644</v>
      </c>
      <c r="BG29" s="60"/>
      <c r="BH29" s="60">
        <f t="shared" si="9"/>
        <v>44058.076174635644</v>
      </c>
    </row>
    <row r="30" spans="2:60" ht="12.75">
      <c r="B30" s="7" t="s">
        <v>53</v>
      </c>
      <c r="D30" s="7" t="s">
        <v>29</v>
      </c>
      <c r="F30" s="61">
        <f t="shared" si="4"/>
        <v>507.0206218667757</v>
      </c>
      <c r="G30" s="61"/>
      <c r="H30" s="61">
        <f t="shared" si="4"/>
        <v>1093.8487198469663</v>
      </c>
      <c r="I30" s="61"/>
      <c r="J30" s="61">
        <f t="shared" si="4"/>
        <v>1541.5722572530337</v>
      </c>
      <c r="K30" s="61"/>
      <c r="L30" s="61">
        <f t="shared" si="10"/>
        <v>1039.7700610658858</v>
      </c>
      <c r="M30" s="61"/>
      <c r="N30" s="61">
        <f t="shared" si="10"/>
        <v>5099.741400524074</v>
      </c>
      <c r="O30" s="61"/>
      <c r="P30" s="61">
        <f t="shared" si="10"/>
        <v>35641.237455013645</v>
      </c>
      <c r="Q30" s="31"/>
      <c r="R30" s="31">
        <f t="shared" si="10"/>
        <v>40641.45041848907</v>
      </c>
      <c r="S30" s="31"/>
      <c r="T30" s="59">
        <f t="shared" si="11"/>
        <v>27113.881039407803</v>
      </c>
      <c r="U30" s="59"/>
      <c r="V30" s="59">
        <f t="shared" si="11"/>
        <v>0</v>
      </c>
      <c r="W30" s="59"/>
      <c r="X30" s="59">
        <f t="shared" si="11"/>
        <v>3308.8923775370727</v>
      </c>
      <c r="Y30" s="59"/>
      <c r="Z30" s="59">
        <f t="shared" si="11"/>
        <v>4394.481954117415</v>
      </c>
      <c r="AA30" s="59"/>
      <c r="AB30" s="59">
        <f t="shared" si="12"/>
        <v>2561.891210368173</v>
      </c>
      <c r="AC30" s="59"/>
      <c r="AD30" s="59">
        <f t="shared" si="12"/>
        <v>0</v>
      </c>
      <c r="AE30" s="59"/>
      <c r="AF30" s="59">
        <f t="shared" si="12"/>
        <v>0</v>
      </c>
      <c r="AG30" s="59"/>
      <c r="AH30" s="59">
        <f t="shared" si="12"/>
        <v>0</v>
      </c>
      <c r="AI30" s="59"/>
      <c r="AJ30" s="59">
        <f t="shared" si="13"/>
        <v>0</v>
      </c>
      <c r="AK30" s="59"/>
      <c r="AL30" s="59">
        <f t="shared" si="13"/>
        <v>5483.698764656196</v>
      </c>
      <c r="AM30" s="59"/>
      <c r="AN30" s="59">
        <f t="shared" si="13"/>
        <v>160.43114557755504</v>
      </c>
      <c r="AO30" s="59"/>
      <c r="AP30" s="59">
        <f t="shared" si="13"/>
        <v>419.4277764863773</v>
      </c>
      <c r="AQ30" s="59"/>
      <c r="AR30" s="59">
        <f t="shared" si="14"/>
        <v>1969.3340787929912</v>
      </c>
      <c r="AS30" s="59"/>
      <c r="AT30" s="59">
        <f t="shared" si="15"/>
        <v>5483.698764656196</v>
      </c>
      <c r="AU30" s="59"/>
      <c r="AV30" s="59">
        <f t="shared" si="15"/>
        <v>3469.3235231146277</v>
      </c>
      <c r="AW30" s="59"/>
      <c r="AX30" s="59">
        <f t="shared" si="15"/>
        <v>4813.909730603792</v>
      </c>
      <c r="AY30" s="59"/>
      <c r="AZ30" s="59">
        <f t="shared" si="15"/>
        <v>4531.225289161164</v>
      </c>
      <c r="BA30" s="59"/>
      <c r="BB30" s="60">
        <f t="shared" si="6"/>
        <v>11090.460787047046</v>
      </c>
      <c r="BC30" s="60"/>
      <c r="BD30" s="60">
        <f t="shared" si="7"/>
        <v>40204.409697975236</v>
      </c>
      <c r="BE30" s="60"/>
      <c r="BF30" s="60">
        <f t="shared" si="8"/>
        <v>46996.9324063459</v>
      </c>
      <c r="BG30" s="60"/>
      <c r="BH30" s="60">
        <f t="shared" si="9"/>
        <v>32684.876389634854</v>
      </c>
    </row>
    <row r="31" spans="2:60" ht="12.75">
      <c r="B31" s="7" t="s">
        <v>54</v>
      </c>
      <c r="D31" s="7" t="s">
        <v>29</v>
      </c>
      <c r="F31" s="61">
        <f t="shared" si="4"/>
        <v>3.691897732039629</v>
      </c>
      <c r="G31" s="61"/>
      <c r="H31" s="61">
        <f t="shared" si="4"/>
        <v>17.41042545756421</v>
      </c>
      <c r="I31" s="61"/>
      <c r="J31" s="61">
        <f t="shared" si="4"/>
        <v>26.226748792226935</v>
      </c>
      <c r="K31" s="61"/>
      <c r="L31" s="61">
        <f t="shared" si="10"/>
        <v>15.668424422513578</v>
      </c>
      <c r="M31" s="61"/>
      <c r="N31" s="61">
        <f t="shared" si="10"/>
        <v>0</v>
      </c>
      <c r="O31" s="61"/>
      <c r="P31" s="61">
        <f t="shared" si="10"/>
        <v>0</v>
      </c>
      <c r="Q31" s="31"/>
      <c r="R31" s="31">
        <f t="shared" si="10"/>
        <v>0</v>
      </c>
      <c r="S31" s="31"/>
      <c r="T31" s="59">
        <f t="shared" si="11"/>
        <v>0</v>
      </c>
      <c r="U31" s="59"/>
      <c r="V31" s="59">
        <f t="shared" si="11"/>
        <v>0</v>
      </c>
      <c r="W31" s="59"/>
      <c r="X31" s="59">
        <f t="shared" si="11"/>
        <v>0</v>
      </c>
      <c r="Y31" s="59"/>
      <c r="Z31" s="59">
        <f t="shared" si="11"/>
        <v>9.990189043756674</v>
      </c>
      <c r="AA31" s="59"/>
      <c r="AB31" s="59">
        <f t="shared" si="12"/>
        <v>3.187989311655158</v>
      </c>
      <c r="AC31" s="59"/>
      <c r="AD31" s="59">
        <f t="shared" si="12"/>
        <v>2500.6453971681754</v>
      </c>
      <c r="AE31" s="59"/>
      <c r="AF31" s="59">
        <f t="shared" si="12"/>
        <v>2360.890153669702</v>
      </c>
      <c r="AG31" s="59"/>
      <c r="AH31" s="59">
        <f t="shared" si="12"/>
        <v>2592.644250834647</v>
      </c>
      <c r="AI31" s="59"/>
      <c r="AJ31" s="59">
        <f t="shared" si="13"/>
        <v>2466.0598683344515</v>
      </c>
      <c r="AK31" s="59"/>
      <c r="AL31" s="59">
        <f t="shared" si="13"/>
        <v>0</v>
      </c>
      <c r="AM31" s="59"/>
      <c r="AN31" s="59">
        <f t="shared" si="13"/>
        <v>0</v>
      </c>
      <c r="AO31" s="59"/>
      <c r="AP31" s="59">
        <f t="shared" si="13"/>
        <v>0</v>
      </c>
      <c r="AQ31" s="59"/>
      <c r="AR31" s="59">
        <f t="shared" si="14"/>
        <v>0</v>
      </c>
      <c r="AS31" s="59"/>
      <c r="AT31" s="59">
        <f t="shared" si="15"/>
        <v>0</v>
      </c>
      <c r="AU31" s="59"/>
      <c r="AV31" s="59">
        <f t="shared" si="15"/>
        <v>0</v>
      </c>
      <c r="AW31" s="59"/>
      <c r="AX31" s="59">
        <f t="shared" si="15"/>
        <v>9.990189043756674</v>
      </c>
      <c r="AY31" s="59"/>
      <c r="AZ31" s="59">
        <f t="shared" si="15"/>
        <v>3.187989311655158</v>
      </c>
      <c r="BA31" s="59"/>
      <c r="BB31" s="60">
        <f t="shared" si="6"/>
        <v>2504.337294900215</v>
      </c>
      <c r="BC31" s="60"/>
      <c r="BD31" s="60">
        <f t="shared" si="7"/>
        <v>2378.3005791272662</v>
      </c>
      <c r="BE31" s="60"/>
      <c r="BF31" s="60">
        <f t="shared" si="8"/>
        <v>2628.861188670631</v>
      </c>
      <c r="BG31" s="60"/>
      <c r="BH31" s="60">
        <f t="shared" si="9"/>
        <v>2484.91628206862</v>
      </c>
    </row>
    <row r="32" spans="2:60" ht="12.75">
      <c r="B32" s="7" t="s">
        <v>58</v>
      </c>
      <c r="D32" s="7" t="s">
        <v>29</v>
      </c>
      <c r="F32" s="61">
        <f t="shared" si="4"/>
        <v>0</v>
      </c>
      <c r="G32" s="61"/>
      <c r="H32" s="61">
        <f t="shared" si="4"/>
        <v>1.002694659859719</v>
      </c>
      <c r="I32" s="61"/>
      <c r="J32" s="61">
        <f t="shared" si="4"/>
        <v>1.5415722572530337</v>
      </c>
      <c r="K32" s="61"/>
      <c r="L32" s="61">
        <f t="shared" si="10"/>
        <v>0.8433158098967554</v>
      </c>
      <c r="M32" s="61"/>
      <c r="N32" s="61">
        <f t="shared" si="10"/>
        <v>0</v>
      </c>
      <c r="O32" s="61"/>
      <c r="P32" s="61">
        <f t="shared" si="10"/>
        <v>0</v>
      </c>
      <c r="Q32" s="31"/>
      <c r="R32" s="31">
        <f t="shared" si="10"/>
        <v>0</v>
      </c>
      <c r="S32" s="31"/>
      <c r="T32" s="59">
        <f t="shared" si="11"/>
        <v>0</v>
      </c>
      <c r="U32" s="59"/>
      <c r="V32" s="59">
        <f t="shared" si="11"/>
        <v>0</v>
      </c>
      <c r="W32" s="59"/>
      <c r="X32" s="59">
        <f t="shared" si="11"/>
        <v>9.09717518672727</v>
      </c>
      <c r="Y32" s="59"/>
      <c r="Z32" s="59">
        <f t="shared" si="11"/>
        <v>11.011230408950242</v>
      </c>
      <c r="AA32" s="59"/>
      <c r="AB32" s="59">
        <f t="shared" si="12"/>
        <v>6.701805186224971</v>
      </c>
      <c r="AC32" s="59"/>
      <c r="AD32" s="59">
        <f t="shared" si="12"/>
        <v>19985.473056107858</v>
      </c>
      <c r="AE32" s="59"/>
      <c r="AF32" s="59">
        <f t="shared" si="12"/>
        <v>19324.660717296403</v>
      </c>
      <c r="AG32" s="59"/>
      <c r="AH32" s="59">
        <f t="shared" si="12"/>
        <v>22422.869196407763</v>
      </c>
      <c r="AI32" s="59"/>
      <c r="AJ32" s="59">
        <f t="shared" si="13"/>
        <v>20412.07585318283</v>
      </c>
      <c r="AK32" s="59"/>
      <c r="AL32" s="59">
        <f t="shared" si="13"/>
        <v>0</v>
      </c>
      <c r="AM32" s="59"/>
      <c r="AN32" s="59">
        <f t="shared" si="13"/>
        <v>6.061744989151939</v>
      </c>
      <c r="AO32" s="59"/>
      <c r="AP32" s="59">
        <f t="shared" si="13"/>
        <v>0</v>
      </c>
      <c r="AQ32" s="59"/>
      <c r="AR32" s="59">
        <f t="shared" si="14"/>
        <v>2.1242614150808423</v>
      </c>
      <c r="AS32" s="59"/>
      <c r="AT32" s="59">
        <f t="shared" si="15"/>
        <v>0</v>
      </c>
      <c r="AU32" s="59"/>
      <c r="AV32" s="59">
        <f t="shared" si="15"/>
        <v>15.15892017587921</v>
      </c>
      <c r="AW32" s="59"/>
      <c r="AX32" s="59">
        <f t="shared" si="15"/>
        <v>11.011230408950242</v>
      </c>
      <c r="AY32" s="59"/>
      <c r="AZ32" s="59">
        <f t="shared" si="15"/>
        <v>8.826066601305813</v>
      </c>
      <c r="BA32" s="59"/>
      <c r="BB32" s="60">
        <f t="shared" si="6"/>
        <v>19985.473056107858</v>
      </c>
      <c r="BC32" s="60"/>
      <c r="BD32" s="60">
        <f t="shared" si="7"/>
        <v>19340.822332132142</v>
      </c>
      <c r="BE32" s="60"/>
      <c r="BF32" s="60">
        <f t="shared" si="8"/>
        <v>22435.421999073966</v>
      </c>
      <c r="BG32" s="60"/>
      <c r="BH32" s="60">
        <f t="shared" si="9"/>
        <v>20421.745235594033</v>
      </c>
    </row>
    <row r="33" spans="2:60" ht="12.75">
      <c r="B33" s="7" t="s">
        <v>60</v>
      </c>
      <c r="D33" s="7" t="s">
        <v>29</v>
      </c>
      <c r="F33" s="61">
        <f t="shared" si="4"/>
        <v>43.121365510222866</v>
      </c>
      <c r="G33" s="61"/>
      <c r="H33" s="61">
        <f t="shared" si="4"/>
        <v>90.33367344736195</v>
      </c>
      <c r="I33" s="61"/>
      <c r="J33" s="61">
        <f t="shared" si="4"/>
        <v>133.13578585367108</v>
      </c>
      <c r="K33" s="61"/>
      <c r="L33" s="61">
        <f t="shared" si="10"/>
        <v>88.13289089034652</v>
      </c>
      <c r="M33" s="61"/>
      <c r="N33" s="61">
        <f t="shared" si="10"/>
        <v>1348.7733047718114</v>
      </c>
      <c r="O33" s="61"/>
      <c r="P33" s="61">
        <f t="shared" si="10"/>
        <v>6526.630695086898</v>
      </c>
      <c r="Q33" s="31"/>
      <c r="R33" s="31">
        <f t="shared" si="10"/>
        <v>8348.514691876817</v>
      </c>
      <c r="S33" s="31"/>
      <c r="T33" s="59">
        <f t="shared" si="11"/>
        <v>5388.915800362978</v>
      </c>
      <c r="U33" s="59"/>
      <c r="V33" s="59">
        <f t="shared" si="11"/>
        <v>0</v>
      </c>
      <c r="W33" s="59"/>
      <c r="X33" s="59">
        <f t="shared" si="11"/>
        <v>8267.67324084332</v>
      </c>
      <c r="Y33" s="59"/>
      <c r="Z33" s="59">
        <f t="shared" si="11"/>
        <v>13013.272301486648</v>
      </c>
      <c r="AA33" s="59"/>
      <c r="AB33" s="59">
        <f t="shared" si="12"/>
        <v>7049.992395614163</v>
      </c>
      <c r="AC33" s="59"/>
      <c r="AD33" s="59">
        <f t="shared" si="12"/>
        <v>251049.0457786948</v>
      </c>
      <c r="AE33" s="59"/>
      <c r="AF33" s="59">
        <f t="shared" si="12"/>
        <v>247939.04316531238</v>
      </c>
      <c r="AG33" s="59"/>
      <c r="AH33" s="59">
        <f t="shared" si="12"/>
        <v>288294.03252524266</v>
      </c>
      <c r="AI33" s="59"/>
      <c r="AJ33" s="59">
        <f t="shared" si="13"/>
        <v>260341.81252494533</v>
      </c>
      <c r="AK33" s="59"/>
      <c r="AL33" s="59">
        <f t="shared" si="13"/>
        <v>2047.7726087046474</v>
      </c>
      <c r="AM33" s="59"/>
      <c r="AN33" s="59">
        <f t="shared" si="13"/>
        <v>366.4393211487337</v>
      </c>
      <c r="AO33" s="59"/>
      <c r="AP33" s="59">
        <f t="shared" si="13"/>
        <v>413.42165080876805</v>
      </c>
      <c r="AQ33" s="59"/>
      <c r="AR33" s="59">
        <f t="shared" si="14"/>
        <v>924.7724506254193</v>
      </c>
      <c r="AS33" s="59"/>
      <c r="AT33" s="59">
        <f t="shared" si="15"/>
        <v>2047.7726087046474</v>
      </c>
      <c r="AU33" s="59"/>
      <c r="AV33" s="59">
        <f t="shared" si="15"/>
        <v>8634.112561992053</v>
      </c>
      <c r="AW33" s="59"/>
      <c r="AX33" s="59">
        <f t="shared" si="15"/>
        <v>13426.693952295416</v>
      </c>
      <c r="AY33" s="59"/>
      <c r="AZ33" s="59">
        <f t="shared" si="15"/>
        <v>7974.764846239582</v>
      </c>
      <c r="BA33" s="59"/>
      <c r="BB33" s="60">
        <f t="shared" si="6"/>
        <v>254488.71305768148</v>
      </c>
      <c r="BC33" s="60"/>
      <c r="BD33" s="60">
        <f t="shared" si="7"/>
        <v>263190.12009583873</v>
      </c>
      <c r="BE33" s="60"/>
      <c r="BF33" s="60">
        <f t="shared" si="8"/>
        <v>310202.37695526856</v>
      </c>
      <c r="BG33" s="60"/>
      <c r="BH33" s="60">
        <f t="shared" si="9"/>
        <v>273793.62606243824</v>
      </c>
    </row>
    <row r="34" spans="2:60" ht="12.75">
      <c r="B34" s="7" t="s">
        <v>57</v>
      </c>
      <c r="D34" s="7" t="s">
        <v>29</v>
      </c>
      <c r="F34" s="61">
        <f t="shared" si="4"/>
        <v>38.78953883796304</v>
      </c>
      <c r="G34" s="61"/>
      <c r="H34" s="61">
        <f t="shared" si="4"/>
        <v>97.53484418635448</v>
      </c>
      <c r="I34" s="61"/>
      <c r="J34" s="61">
        <f t="shared" si="4"/>
        <v>113.11536692830703</v>
      </c>
      <c r="K34" s="61"/>
      <c r="L34" s="61">
        <f t="shared" si="10"/>
        <v>82.8621670784918</v>
      </c>
      <c r="M34" s="61"/>
      <c r="N34" s="61">
        <f t="shared" si="10"/>
        <v>0</v>
      </c>
      <c r="O34" s="61"/>
      <c r="P34" s="61">
        <f t="shared" si="10"/>
        <v>1659.0038917678987</v>
      </c>
      <c r="Q34" s="31"/>
      <c r="R34" s="31">
        <f t="shared" si="10"/>
        <v>1951.9908452229972</v>
      </c>
      <c r="S34" s="31"/>
      <c r="T34" s="59">
        <f t="shared" si="11"/>
        <v>1204.2805315571088</v>
      </c>
      <c r="U34" s="59"/>
      <c r="V34" s="59">
        <f t="shared" si="11"/>
        <v>0</v>
      </c>
      <c r="W34" s="59"/>
      <c r="X34" s="59">
        <f t="shared" si="11"/>
        <v>793.951862488923</v>
      </c>
      <c r="Y34" s="59"/>
      <c r="Z34" s="59">
        <f t="shared" si="11"/>
        <v>948.9678570622572</v>
      </c>
      <c r="AA34" s="59"/>
      <c r="AB34" s="59">
        <f t="shared" si="12"/>
        <v>581.0573705311356</v>
      </c>
      <c r="AC34" s="59"/>
      <c r="AD34" s="59">
        <f t="shared" si="12"/>
        <v>206746.27299421927</v>
      </c>
      <c r="AE34" s="59"/>
      <c r="AF34" s="59">
        <f t="shared" si="12"/>
        <v>156784.98317806516</v>
      </c>
      <c r="AG34" s="59"/>
      <c r="AH34" s="59">
        <f t="shared" si="12"/>
        <v>205209.29398498178</v>
      </c>
      <c r="AI34" s="59"/>
      <c r="AJ34" s="59">
        <f t="shared" si="13"/>
        <v>187509.99257931643</v>
      </c>
      <c r="AK34" s="59"/>
      <c r="AL34" s="59">
        <f t="shared" si="13"/>
        <v>7255.809676035217</v>
      </c>
      <c r="AM34" s="59"/>
      <c r="AN34" s="59">
        <f t="shared" si="13"/>
        <v>164.07730797704494</v>
      </c>
      <c r="AO34" s="59"/>
      <c r="AP34" s="59">
        <f t="shared" si="13"/>
        <v>181.1847912745449</v>
      </c>
      <c r="AQ34" s="59"/>
      <c r="AR34" s="59">
        <f t="shared" si="14"/>
        <v>2469.5736842090205</v>
      </c>
      <c r="AS34" s="59"/>
      <c r="AT34" s="59">
        <f t="shared" si="15"/>
        <v>7255.809676035217</v>
      </c>
      <c r="AU34" s="59"/>
      <c r="AV34" s="59">
        <f t="shared" si="15"/>
        <v>958.0291704659679</v>
      </c>
      <c r="AW34" s="59"/>
      <c r="AX34" s="59">
        <f t="shared" si="15"/>
        <v>1130.152648336802</v>
      </c>
      <c r="AY34" s="59"/>
      <c r="AZ34" s="59">
        <f t="shared" si="15"/>
        <v>3050.6310547401563</v>
      </c>
      <c r="BA34" s="59"/>
      <c r="BB34" s="60">
        <f t="shared" si="6"/>
        <v>214040.87220909246</v>
      </c>
      <c r="BC34" s="60"/>
      <c r="BD34" s="60">
        <f t="shared" si="7"/>
        <v>159499.5510844854</v>
      </c>
      <c r="BE34" s="60"/>
      <c r="BF34" s="60">
        <f t="shared" si="8"/>
        <v>208404.55284546988</v>
      </c>
      <c r="BG34" s="60"/>
      <c r="BH34" s="60">
        <f t="shared" si="9"/>
        <v>191847.76633269218</v>
      </c>
    </row>
    <row r="35" spans="2:60" ht="12.75">
      <c r="B35" s="7" t="s">
        <v>64</v>
      </c>
      <c r="D35" s="7" t="s">
        <v>29</v>
      </c>
      <c r="F35" s="61">
        <f t="shared" si="4"/>
        <v>0.2500645397168175</v>
      </c>
      <c r="G35" s="61"/>
      <c r="H35" s="61">
        <f t="shared" si="4"/>
        <v>1.9871585077219884</v>
      </c>
      <c r="I35" s="61"/>
      <c r="J35" s="61">
        <f t="shared" si="4"/>
        <v>2.4725217372824635</v>
      </c>
      <c r="K35" s="61"/>
      <c r="L35" s="61">
        <f t="shared" si="10"/>
        <v>1.566523004444579</v>
      </c>
      <c r="M35" s="61"/>
      <c r="N35" s="61">
        <f t="shared" si="10"/>
        <v>16.83505365810071</v>
      </c>
      <c r="O35" s="61"/>
      <c r="P35" s="61">
        <f t="shared" si="10"/>
        <v>15.040419897895784</v>
      </c>
      <c r="Q35" s="31"/>
      <c r="R35" s="31">
        <f t="shared" si="10"/>
        <v>16.717049802679</v>
      </c>
      <c r="S35" s="31"/>
      <c r="T35" s="59">
        <f t="shared" si="11"/>
        <v>16.06772168098742</v>
      </c>
      <c r="U35" s="59"/>
      <c r="V35" s="59">
        <f t="shared" si="11"/>
        <v>0</v>
      </c>
      <c r="W35" s="59"/>
      <c r="X35" s="59">
        <f t="shared" si="11"/>
        <v>8.295019458839494</v>
      </c>
      <c r="Y35" s="59"/>
      <c r="Z35" s="59">
        <f t="shared" si="11"/>
        <v>0.9990189043756672</v>
      </c>
      <c r="AA35" s="59"/>
      <c r="AB35" s="59">
        <f t="shared" si="12"/>
        <v>3.225682972855089</v>
      </c>
      <c r="AC35" s="59"/>
      <c r="AD35" s="59">
        <f t="shared" si="12"/>
        <v>0</v>
      </c>
      <c r="AE35" s="59"/>
      <c r="AF35" s="59">
        <f t="shared" si="12"/>
        <v>0</v>
      </c>
      <c r="AG35" s="59"/>
      <c r="AH35" s="59">
        <f t="shared" si="12"/>
        <v>0</v>
      </c>
      <c r="AI35" s="59"/>
      <c r="AJ35" s="59">
        <f t="shared" si="13"/>
        <v>0</v>
      </c>
      <c r="AK35" s="59"/>
      <c r="AL35" s="59">
        <f t="shared" si="13"/>
        <v>4.705938975773181</v>
      </c>
      <c r="AM35" s="59"/>
      <c r="AN35" s="59">
        <f t="shared" si="13"/>
        <v>2.424697995660775</v>
      </c>
      <c r="AO35" s="59"/>
      <c r="AP35" s="59">
        <f t="shared" si="13"/>
        <v>3.2332976564462976</v>
      </c>
      <c r="AQ35" s="59"/>
      <c r="AR35" s="59">
        <f t="shared" si="14"/>
        <v>3.4084013983327193</v>
      </c>
      <c r="AS35" s="59"/>
      <c r="AT35" s="59">
        <f t="shared" si="15"/>
        <v>4.705938975773181</v>
      </c>
      <c r="AU35" s="59"/>
      <c r="AV35" s="59">
        <f t="shared" si="15"/>
        <v>10.71971745450027</v>
      </c>
      <c r="AW35" s="59"/>
      <c r="AX35" s="59">
        <f t="shared" si="15"/>
        <v>4.232316560821965</v>
      </c>
      <c r="AY35" s="59"/>
      <c r="AZ35" s="59">
        <f t="shared" si="15"/>
        <v>6.634084371187808</v>
      </c>
      <c r="BA35" s="59"/>
      <c r="BB35" s="60">
        <f t="shared" si="6"/>
        <v>21.79105717359071</v>
      </c>
      <c r="BC35" s="60"/>
      <c r="BD35" s="60">
        <f t="shared" si="7"/>
        <v>27.747295860118044</v>
      </c>
      <c r="BE35" s="60"/>
      <c r="BF35" s="60">
        <f t="shared" si="8"/>
        <v>23.421888100783427</v>
      </c>
      <c r="BG35" s="60"/>
      <c r="BH35" s="60">
        <f t="shared" si="9"/>
        <v>24.268329056619812</v>
      </c>
    </row>
    <row r="36" spans="2:60" ht="12.75">
      <c r="B36" s="7" t="s">
        <v>59</v>
      </c>
      <c r="D36" s="7" t="s">
        <v>29</v>
      </c>
      <c r="F36" s="61">
        <f t="shared" si="4"/>
        <v>5.503388885893741</v>
      </c>
      <c r="G36" s="61"/>
      <c r="H36" s="61">
        <f t="shared" si="4"/>
        <v>5.925013899171068</v>
      </c>
      <c r="I36" s="61"/>
      <c r="J36" s="61">
        <f t="shared" si="4"/>
        <v>1.5415722572530337</v>
      </c>
      <c r="K36" s="61"/>
      <c r="L36" s="61">
        <f t="shared" si="10"/>
        <v>4.353937306398778</v>
      </c>
      <c r="M36" s="61"/>
      <c r="N36" s="61">
        <f t="shared" si="10"/>
        <v>482.4079703198449</v>
      </c>
      <c r="O36" s="61"/>
      <c r="P36" s="61">
        <f t="shared" si="10"/>
        <v>250.6736649649298</v>
      </c>
      <c r="Q36" s="31"/>
      <c r="R36" s="31">
        <f t="shared" si="10"/>
        <v>278.2838230625606</v>
      </c>
      <c r="S36" s="31"/>
      <c r="T36" s="59">
        <f t="shared" si="11"/>
        <v>333.1736324705742</v>
      </c>
      <c r="U36" s="59"/>
      <c r="V36" s="59">
        <f t="shared" si="11"/>
        <v>0</v>
      </c>
      <c r="W36" s="59"/>
      <c r="X36" s="59">
        <f t="shared" si="11"/>
        <v>4.101932699426123</v>
      </c>
      <c r="Y36" s="59"/>
      <c r="Z36" s="59">
        <f t="shared" si="11"/>
        <v>4.995094521878337</v>
      </c>
      <c r="AA36" s="59"/>
      <c r="AB36" s="59">
        <f t="shared" si="12"/>
        <v>3.0314647863334123</v>
      </c>
      <c r="AC36" s="59"/>
      <c r="AD36" s="59">
        <f t="shared" si="12"/>
        <v>0</v>
      </c>
      <c r="AE36" s="59"/>
      <c r="AF36" s="59">
        <f t="shared" si="12"/>
        <v>0</v>
      </c>
      <c r="AG36" s="59"/>
      <c r="AH36" s="59">
        <f t="shared" si="12"/>
        <v>0</v>
      </c>
      <c r="AI36" s="59"/>
      <c r="AJ36" s="59">
        <f t="shared" si="13"/>
        <v>0</v>
      </c>
      <c r="AK36" s="59"/>
      <c r="AL36" s="59">
        <f t="shared" si="13"/>
        <v>55.0338888589374</v>
      </c>
      <c r="AM36" s="59"/>
      <c r="AN36" s="59">
        <f t="shared" si="13"/>
        <v>15.131573957883028</v>
      </c>
      <c r="AO36" s="59"/>
      <c r="AP36" s="59">
        <f t="shared" si="13"/>
        <v>6.456585103429915</v>
      </c>
      <c r="AQ36" s="59"/>
      <c r="AR36" s="59">
        <f t="shared" si="14"/>
        <v>25.21961484520789</v>
      </c>
      <c r="AS36" s="59"/>
      <c r="AT36" s="59">
        <f t="shared" si="15"/>
        <v>55.0338888589374</v>
      </c>
      <c r="AU36" s="59"/>
      <c r="AV36" s="59">
        <f t="shared" si="15"/>
        <v>19.23350665730915</v>
      </c>
      <c r="AW36" s="59"/>
      <c r="AX36" s="59">
        <f t="shared" si="15"/>
        <v>11.451679625308252</v>
      </c>
      <c r="AY36" s="59"/>
      <c r="AZ36" s="59">
        <f t="shared" si="15"/>
        <v>28.2510796315413</v>
      </c>
      <c r="BA36" s="59"/>
      <c r="BB36" s="60">
        <f t="shared" si="6"/>
        <v>542.945248064676</v>
      </c>
      <c r="BC36" s="60"/>
      <c r="BD36" s="60">
        <f t="shared" si="7"/>
        <v>275.83218552141</v>
      </c>
      <c r="BE36" s="60"/>
      <c r="BF36" s="60">
        <f t="shared" si="8"/>
        <v>291.2770749451219</v>
      </c>
      <c r="BG36" s="60"/>
      <c r="BH36" s="60">
        <f t="shared" si="9"/>
        <v>365.7786494085143</v>
      </c>
    </row>
    <row r="37" spans="2:60" ht="12.75">
      <c r="B37" s="7" t="s">
        <v>55</v>
      </c>
      <c r="D37" s="7" t="s">
        <v>29</v>
      </c>
      <c r="F37" s="61">
        <f t="shared" si="4"/>
        <v>2.0674627299421924</v>
      </c>
      <c r="G37" s="61"/>
      <c r="H37" s="61">
        <f t="shared" si="4"/>
        <v>5.460128193236105</v>
      </c>
      <c r="I37" s="61"/>
      <c r="J37" s="61">
        <f t="shared" si="4"/>
        <v>9.309494800294296</v>
      </c>
      <c r="K37" s="61"/>
      <c r="L37" s="61">
        <f t="shared" si="10"/>
        <v>5.555023459888098</v>
      </c>
      <c r="M37" s="61"/>
      <c r="N37" s="61">
        <f t="shared" si="10"/>
        <v>89.78695284320378</v>
      </c>
      <c r="O37" s="61"/>
      <c r="P37" s="61">
        <f t="shared" si="10"/>
        <v>502.25887052973195</v>
      </c>
      <c r="Q37" s="31"/>
      <c r="R37" s="31">
        <f t="shared" si="10"/>
        <v>556.5676461251212</v>
      </c>
      <c r="S37" s="31"/>
      <c r="T37" s="59">
        <f t="shared" si="11"/>
        <v>382.7503800826865</v>
      </c>
      <c r="U37" s="59"/>
      <c r="V37" s="59">
        <f t="shared" si="11"/>
        <v>0</v>
      </c>
      <c r="W37" s="59"/>
      <c r="X37" s="59">
        <f t="shared" si="11"/>
        <v>8.295019458839494</v>
      </c>
      <c r="Y37" s="59"/>
      <c r="Z37" s="59">
        <f t="shared" si="11"/>
        <v>9.990189043756674</v>
      </c>
      <c r="AA37" s="59"/>
      <c r="AB37" s="59">
        <f t="shared" si="12"/>
        <v>6.094873353344732</v>
      </c>
      <c r="AC37" s="59"/>
      <c r="AD37" s="59">
        <f t="shared" si="12"/>
        <v>0</v>
      </c>
      <c r="AE37" s="59"/>
      <c r="AF37" s="59">
        <f t="shared" si="12"/>
        <v>0</v>
      </c>
      <c r="AG37" s="59"/>
      <c r="AH37" s="59">
        <f t="shared" si="12"/>
        <v>0</v>
      </c>
      <c r="AI37" s="59"/>
      <c r="AJ37" s="59">
        <f t="shared" si="13"/>
        <v>0</v>
      </c>
      <c r="AK37" s="59"/>
      <c r="AL37" s="59">
        <f t="shared" si="13"/>
        <v>11.420270317775918</v>
      </c>
      <c r="AM37" s="59"/>
      <c r="AN37" s="59">
        <f t="shared" si="13"/>
        <v>12.123489978303878</v>
      </c>
      <c r="AO37" s="59"/>
      <c r="AP37" s="59">
        <f t="shared" si="13"/>
        <v>12.91317020685983</v>
      </c>
      <c r="AQ37" s="59"/>
      <c r="AR37" s="59">
        <f t="shared" si="14"/>
        <v>12.074749096248995</v>
      </c>
      <c r="AS37" s="59"/>
      <c r="AT37" s="59">
        <f t="shared" si="15"/>
        <v>11.420270317775918</v>
      </c>
      <c r="AU37" s="59"/>
      <c r="AV37" s="59">
        <f t="shared" si="15"/>
        <v>20.41850943714337</v>
      </c>
      <c r="AW37" s="59"/>
      <c r="AX37" s="59">
        <f t="shared" si="15"/>
        <v>22.903359250616504</v>
      </c>
      <c r="AY37" s="59"/>
      <c r="AZ37" s="59">
        <f t="shared" si="15"/>
        <v>18.169622449593728</v>
      </c>
      <c r="BA37" s="59"/>
      <c r="BB37" s="60">
        <f t="shared" si="6"/>
        <v>103.27468589092189</v>
      </c>
      <c r="BC37" s="60"/>
      <c r="BD37" s="60">
        <f t="shared" si="7"/>
        <v>528.1375081601115</v>
      </c>
      <c r="BE37" s="60"/>
      <c r="BF37" s="60">
        <f t="shared" si="8"/>
        <v>588.780500176032</v>
      </c>
      <c r="BG37" s="60"/>
      <c r="BH37" s="60">
        <f t="shared" si="9"/>
        <v>406.4750259921683</v>
      </c>
    </row>
    <row r="38" spans="6:60" ht="12.75">
      <c r="F38" s="4"/>
      <c r="G38" s="4"/>
      <c r="H38" s="4"/>
      <c r="I38" s="4"/>
      <c r="J38" s="4"/>
      <c r="K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L38" s="4"/>
      <c r="AM38" s="4"/>
      <c r="AN38" s="4"/>
      <c r="AO38" s="4"/>
      <c r="AP38" s="4"/>
      <c r="AQ38" s="4"/>
      <c r="BB38" s="6"/>
      <c r="BC38" s="6"/>
      <c r="BD38" s="6"/>
      <c r="BE38" s="6"/>
      <c r="BF38" s="6"/>
      <c r="BG38" s="6"/>
      <c r="BH38" s="6"/>
    </row>
    <row r="39" spans="2:60" ht="12.75">
      <c r="B39" s="7" t="s">
        <v>34</v>
      </c>
      <c r="D39" s="7" t="s">
        <v>29</v>
      </c>
      <c r="F39" s="59">
        <f aca="true" t="shared" si="16" ref="F39:AR39">F32+F34</f>
        <v>38.78953883796304</v>
      </c>
      <c r="G39" s="59"/>
      <c r="H39" s="59">
        <f t="shared" si="16"/>
        <v>98.53753884621419</v>
      </c>
      <c r="I39" s="59"/>
      <c r="J39" s="59">
        <f t="shared" si="16"/>
        <v>114.65693918556006</v>
      </c>
      <c r="K39" s="59"/>
      <c r="L39" s="59">
        <f t="shared" si="16"/>
        <v>83.70548288838854</v>
      </c>
      <c r="M39" s="59"/>
      <c r="N39" s="59">
        <f t="shared" si="16"/>
        <v>0</v>
      </c>
      <c r="O39" s="59"/>
      <c r="P39" s="59">
        <f t="shared" si="16"/>
        <v>1659.0038917678987</v>
      </c>
      <c r="Q39" s="59"/>
      <c r="R39" s="59">
        <f t="shared" si="16"/>
        <v>1951.9908452229972</v>
      </c>
      <c r="S39" s="59"/>
      <c r="T39" s="59">
        <f t="shared" si="16"/>
        <v>1204.2805315571088</v>
      </c>
      <c r="U39" s="59"/>
      <c r="V39" s="59">
        <f t="shared" si="16"/>
        <v>0</v>
      </c>
      <c r="W39" s="59"/>
      <c r="X39" s="59">
        <f t="shared" si="16"/>
        <v>803.0490376756502</v>
      </c>
      <c r="Y39" s="59"/>
      <c r="Z39" s="59">
        <f t="shared" si="16"/>
        <v>959.9790874712074</v>
      </c>
      <c r="AA39" s="59"/>
      <c r="AB39" s="59">
        <f t="shared" si="16"/>
        <v>587.7591757173606</v>
      </c>
      <c r="AC39" s="59"/>
      <c r="AD39" s="59">
        <f t="shared" si="16"/>
        <v>226731.7460503271</v>
      </c>
      <c r="AE39" s="59"/>
      <c r="AF39" s="59">
        <f t="shared" si="16"/>
        <v>176109.64389536157</v>
      </c>
      <c r="AG39" s="59"/>
      <c r="AH39" s="59">
        <f t="shared" si="16"/>
        <v>227632.16318138954</v>
      </c>
      <c r="AI39" s="59"/>
      <c r="AJ39" s="59">
        <f t="shared" si="16"/>
        <v>207922.06843249925</v>
      </c>
      <c r="AK39" s="59"/>
      <c r="AL39" s="59">
        <f t="shared" si="16"/>
        <v>7255.809676035217</v>
      </c>
      <c r="AM39" s="59"/>
      <c r="AN39" s="59">
        <f t="shared" si="16"/>
        <v>170.13905296619689</v>
      </c>
      <c r="AO39" s="59"/>
      <c r="AP39" s="59">
        <f t="shared" si="16"/>
        <v>181.1847912745449</v>
      </c>
      <c r="AQ39" s="59"/>
      <c r="AR39" s="59">
        <f t="shared" si="16"/>
        <v>2471.6979456241015</v>
      </c>
      <c r="AS39" s="59"/>
      <c r="AT39" s="59">
        <f>SUM(AL39,V39)</f>
        <v>7255.809676035217</v>
      </c>
      <c r="AU39" s="59"/>
      <c r="AV39" s="59">
        <f>SUM(AN39,X39)</f>
        <v>973.1880906418471</v>
      </c>
      <c r="AW39" s="59"/>
      <c r="AX39" s="59">
        <f>SUM(AP39,Z39)</f>
        <v>1141.1638787457523</v>
      </c>
      <c r="AY39" s="59"/>
      <c r="AZ39" s="59">
        <f>SUM(AR39,AB39)</f>
        <v>3059.457121341462</v>
      </c>
      <c r="BA39" s="59"/>
      <c r="BB39" s="60">
        <f>N39+F39+AL39+AD39+V39</f>
        <v>234026.3452652003</v>
      </c>
      <c r="BC39" s="60"/>
      <c r="BD39" s="60">
        <f>P39+H39+AN39+AF39+X39</f>
        <v>178840.37341661754</v>
      </c>
      <c r="BE39" s="60"/>
      <c r="BF39" s="60">
        <f>R39+J39+AP39+AH39+Z39</f>
        <v>230839.97484454385</v>
      </c>
      <c r="BG39" s="60"/>
      <c r="BH39" s="60">
        <f>T39+L39+AR39+AJ39+AB39</f>
        <v>212269.51156828622</v>
      </c>
    </row>
    <row r="40" spans="2:60" ht="12.75">
      <c r="B40" s="7" t="s">
        <v>35</v>
      </c>
      <c r="D40" s="7" t="s">
        <v>29</v>
      </c>
      <c r="F40" s="59">
        <f aca="true" t="shared" si="17" ref="F40:AR40">F29+F31+F33</f>
        <v>141.22739457628927</v>
      </c>
      <c r="G40" s="59"/>
      <c r="H40" s="59">
        <f t="shared" si="17"/>
        <v>290.963759479293</v>
      </c>
      <c r="I40" s="59"/>
      <c r="J40" s="59">
        <f t="shared" si="17"/>
        <v>452.66167190248166</v>
      </c>
      <c r="K40" s="59"/>
      <c r="L40" s="59">
        <f t="shared" si="17"/>
        <v>292.23767753183586</v>
      </c>
      <c r="M40" s="59"/>
      <c r="N40" s="59">
        <f t="shared" si="17"/>
        <v>3475.306398426638</v>
      </c>
      <c r="O40" s="59"/>
      <c r="P40" s="59">
        <f t="shared" si="17"/>
        <v>13554.608720103657</v>
      </c>
      <c r="Q40" s="59"/>
      <c r="R40" s="59">
        <f t="shared" si="17"/>
        <v>16146.467863306123</v>
      </c>
      <c r="S40" s="59"/>
      <c r="T40" s="59">
        <f t="shared" si="17"/>
        <v>11030.187468081425</v>
      </c>
      <c r="U40" s="59"/>
      <c r="V40" s="59">
        <f t="shared" si="17"/>
        <v>0</v>
      </c>
      <c r="W40" s="59"/>
      <c r="X40" s="59">
        <f t="shared" si="17"/>
        <v>8339.593794173257</v>
      </c>
      <c r="Y40" s="59"/>
      <c r="Z40" s="59">
        <f t="shared" si="17"/>
        <v>13100.140899203803</v>
      </c>
      <c r="AA40" s="59"/>
      <c r="AB40" s="59">
        <f t="shared" si="17"/>
        <v>7102.9168514413195</v>
      </c>
      <c r="AC40" s="59"/>
      <c r="AD40" s="59">
        <f t="shared" si="17"/>
        <v>290764.02031482244</v>
      </c>
      <c r="AE40" s="59"/>
      <c r="AF40" s="59">
        <f t="shared" si="17"/>
        <v>286032.324833983</v>
      </c>
      <c r="AG40" s="59"/>
      <c r="AH40" s="59">
        <f t="shared" si="17"/>
        <v>333229.8628032223</v>
      </c>
      <c r="AI40" s="59"/>
      <c r="AJ40" s="59">
        <f t="shared" si="17"/>
        <v>300916.8027420233</v>
      </c>
      <c r="AK40" s="59"/>
      <c r="AL40" s="59">
        <f t="shared" si="17"/>
        <v>2047.7726087046474</v>
      </c>
      <c r="AM40" s="59"/>
      <c r="AN40" s="59">
        <f t="shared" si="17"/>
        <v>524.1358449266713</v>
      </c>
      <c r="AO40" s="59"/>
      <c r="AP40" s="59">
        <f t="shared" si="17"/>
        <v>458.66779758009085</v>
      </c>
      <c r="AQ40" s="59"/>
      <c r="AR40" s="59">
        <f t="shared" si="17"/>
        <v>994.4737800646133</v>
      </c>
      <c r="AS40" s="59"/>
      <c r="AT40" s="59">
        <f>SUM(AL40,V40)</f>
        <v>2047.7726087046474</v>
      </c>
      <c r="AU40" s="59"/>
      <c r="AV40" s="59">
        <f>SUM(AN40,X40)</f>
        <v>8863.729639099929</v>
      </c>
      <c r="AW40" s="59"/>
      <c r="AX40" s="59">
        <f>SUM(AP40,Z40)</f>
        <v>13558.808696783894</v>
      </c>
      <c r="AY40" s="59"/>
      <c r="AZ40" s="59">
        <f>SUM(AR40,AB40)</f>
        <v>8097.390631505933</v>
      </c>
      <c r="BA40" s="59"/>
      <c r="BB40" s="60">
        <f>N40+F40+AL40+AD40+V40</f>
        <v>296428.32671653</v>
      </c>
      <c r="BC40" s="60"/>
      <c r="BD40" s="60">
        <f>P40+H40+AN40+AF40+X40</f>
        <v>308741.62695266586</v>
      </c>
      <c r="BE40" s="60"/>
      <c r="BF40" s="60">
        <f>R40+J40+AP40+AH40+Z40</f>
        <v>363387.8010352148</v>
      </c>
      <c r="BG40" s="60"/>
      <c r="BH40" s="60">
        <f>T40+L40+AR40+AJ40+AB40</f>
        <v>320336.6185191425</v>
      </c>
    </row>
    <row r="42" spans="1:60" ht="12.75">
      <c r="A42" s="4" t="s">
        <v>62</v>
      </c>
      <c r="B42" s="29" t="s">
        <v>102</v>
      </c>
      <c r="C42" s="7" t="s">
        <v>91</v>
      </c>
      <c r="F42" s="5" t="s">
        <v>76</v>
      </c>
      <c r="G42" s="5"/>
      <c r="H42" s="5" t="s">
        <v>77</v>
      </c>
      <c r="I42" s="5"/>
      <c r="J42" s="5" t="s">
        <v>78</v>
      </c>
      <c r="K42" s="5"/>
      <c r="L42" s="4" t="s">
        <v>30</v>
      </c>
      <c r="N42" s="5" t="s">
        <v>76</v>
      </c>
      <c r="P42" s="5" t="s">
        <v>77</v>
      </c>
      <c r="R42" s="5" t="s">
        <v>78</v>
      </c>
      <c r="T42" s="30" t="s">
        <v>30</v>
      </c>
      <c r="V42" s="5" t="s">
        <v>76</v>
      </c>
      <c r="W42" s="5"/>
      <c r="X42" s="5" t="s">
        <v>77</v>
      </c>
      <c r="Y42" s="5"/>
      <c r="Z42" s="5" t="s">
        <v>78</v>
      </c>
      <c r="AA42" s="5"/>
      <c r="AB42" s="30" t="s">
        <v>30</v>
      </c>
      <c r="AD42" s="5" t="s">
        <v>76</v>
      </c>
      <c r="AF42" s="5" t="s">
        <v>77</v>
      </c>
      <c r="AH42" s="5" t="s">
        <v>78</v>
      </c>
      <c r="AJ42" s="5" t="s">
        <v>30</v>
      </c>
      <c r="AL42" s="5" t="s">
        <v>76</v>
      </c>
      <c r="AN42" s="5" t="s">
        <v>77</v>
      </c>
      <c r="AP42" s="5" t="s">
        <v>78</v>
      </c>
      <c r="AR42" s="4" t="s">
        <v>30</v>
      </c>
      <c r="AT42" s="5" t="s">
        <v>76</v>
      </c>
      <c r="AU42" s="5"/>
      <c r="AV42" s="5" t="s">
        <v>77</v>
      </c>
      <c r="AW42" s="5"/>
      <c r="AX42" s="5" t="s">
        <v>78</v>
      </c>
      <c r="AY42" s="5"/>
      <c r="AZ42" s="4" t="s">
        <v>30</v>
      </c>
      <c r="BA42" s="30"/>
      <c r="BB42" s="5" t="s">
        <v>76</v>
      </c>
      <c r="BC42" s="5"/>
      <c r="BD42" s="5" t="s">
        <v>77</v>
      </c>
      <c r="BE42" s="5"/>
      <c r="BF42" s="5" t="s">
        <v>78</v>
      </c>
      <c r="BG42" s="5"/>
      <c r="BH42" s="4" t="s">
        <v>30</v>
      </c>
    </row>
    <row r="43" ht="12.75">
      <c r="B43" s="29"/>
    </row>
    <row r="44" spans="2:60" ht="12.75">
      <c r="B44" s="7" t="s">
        <v>159</v>
      </c>
      <c r="F44" s="5" t="s">
        <v>183</v>
      </c>
      <c r="G44" s="5"/>
      <c r="H44" s="5" t="s">
        <v>183</v>
      </c>
      <c r="I44" s="5"/>
      <c r="J44" s="5" t="s">
        <v>183</v>
      </c>
      <c r="K44" s="5"/>
      <c r="L44" s="4" t="s">
        <v>183</v>
      </c>
      <c r="N44" s="5" t="s">
        <v>184</v>
      </c>
      <c r="P44" s="5" t="s">
        <v>184</v>
      </c>
      <c r="R44" s="5" t="s">
        <v>184</v>
      </c>
      <c r="T44" s="30" t="s">
        <v>184</v>
      </c>
      <c r="V44" s="5" t="s">
        <v>185</v>
      </c>
      <c r="W44" s="5"/>
      <c r="X44" s="5" t="s">
        <v>185</v>
      </c>
      <c r="Y44" s="5"/>
      <c r="Z44" s="5" t="s">
        <v>185</v>
      </c>
      <c r="AA44" s="5"/>
      <c r="AB44" s="5" t="s">
        <v>185</v>
      </c>
      <c r="AD44" s="5" t="s">
        <v>186</v>
      </c>
      <c r="AF44" s="5" t="s">
        <v>186</v>
      </c>
      <c r="AH44" s="5" t="s">
        <v>186</v>
      </c>
      <c r="AJ44" s="5" t="s">
        <v>186</v>
      </c>
      <c r="AL44" s="5" t="s">
        <v>187</v>
      </c>
      <c r="AN44" s="5" t="s">
        <v>187</v>
      </c>
      <c r="AP44" s="5" t="s">
        <v>187</v>
      </c>
      <c r="AR44" s="5" t="s">
        <v>187</v>
      </c>
      <c r="BB44" s="5" t="s">
        <v>188</v>
      </c>
      <c r="BC44" s="5"/>
      <c r="BD44" s="5" t="s">
        <v>188</v>
      </c>
      <c r="BE44" s="5"/>
      <c r="BF44" s="5" t="s">
        <v>188</v>
      </c>
      <c r="BG44" s="5"/>
      <c r="BH44" s="5" t="s">
        <v>188</v>
      </c>
    </row>
    <row r="45" spans="2:60" ht="12.75">
      <c r="B45" s="7" t="s">
        <v>160</v>
      </c>
      <c r="F45" s="5" t="s">
        <v>75</v>
      </c>
      <c r="G45" s="5"/>
      <c r="H45" s="5" t="s">
        <v>75</v>
      </c>
      <c r="I45" s="5"/>
      <c r="J45" s="5" t="s">
        <v>75</v>
      </c>
      <c r="K45" s="5"/>
      <c r="L45" s="5" t="s">
        <v>75</v>
      </c>
      <c r="M45" s="5"/>
      <c r="N45" s="5" t="s">
        <v>127</v>
      </c>
      <c r="P45" s="5" t="s">
        <v>127</v>
      </c>
      <c r="R45" s="5" t="s">
        <v>127</v>
      </c>
      <c r="T45" s="5" t="s">
        <v>127</v>
      </c>
      <c r="U45" s="5"/>
      <c r="V45" s="5" t="s">
        <v>103</v>
      </c>
      <c r="W45" s="5"/>
      <c r="X45" s="5" t="s">
        <v>103</v>
      </c>
      <c r="Y45" s="5"/>
      <c r="Z45" s="5" t="s">
        <v>103</v>
      </c>
      <c r="AA45" s="5"/>
      <c r="AB45" s="5" t="s">
        <v>103</v>
      </c>
      <c r="AC45" s="5"/>
      <c r="AD45" s="5" t="s">
        <v>27</v>
      </c>
      <c r="AF45" s="5" t="s">
        <v>27</v>
      </c>
      <c r="AH45" s="5" t="s">
        <v>27</v>
      </c>
      <c r="AJ45" s="5" t="s">
        <v>27</v>
      </c>
      <c r="AK45" s="5"/>
      <c r="AL45" s="5" t="s">
        <v>161</v>
      </c>
      <c r="AN45" s="5" t="s">
        <v>161</v>
      </c>
      <c r="AP45" s="5" t="s">
        <v>161</v>
      </c>
      <c r="AR45" s="5" t="s">
        <v>161</v>
      </c>
      <c r="AS45" s="5"/>
      <c r="AT45" s="5"/>
      <c r="AU45" s="5"/>
      <c r="AV45" s="5"/>
      <c r="AW45" s="5"/>
      <c r="AX45" s="5"/>
      <c r="AY45" s="5"/>
      <c r="AZ45" s="5"/>
      <c r="BA45" s="5"/>
      <c r="BB45" s="5" t="s">
        <v>23</v>
      </c>
      <c r="BC45" s="5"/>
      <c r="BD45" s="5" t="s">
        <v>23</v>
      </c>
      <c r="BE45" s="5"/>
      <c r="BF45" s="5" t="s">
        <v>23</v>
      </c>
      <c r="BG45" s="5"/>
      <c r="BH45" s="5" t="s">
        <v>23</v>
      </c>
    </row>
    <row r="46" spans="2:60" ht="12.75">
      <c r="B46" s="7" t="s">
        <v>181</v>
      </c>
      <c r="F46" s="5" t="s">
        <v>75</v>
      </c>
      <c r="G46" s="5"/>
      <c r="H46" s="5" t="s">
        <v>75</v>
      </c>
      <c r="I46" s="5"/>
      <c r="J46" s="5" t="s">
        <v>75</v>
      </c>
      <c r="K46" s="5"/>
      <c r="L46" s="5" t="s">
        <v>75</v>
      </c>
      <c r="M46" s="5"/>
      <c r="N46" s="5" t="s">
        <v>182</v>
      </c>
      <c r="P46" s="5" t="s">
        <v>182</v>
      </c>
      <c r="R46" s="5" t="s">
        <v>182</v>
      </c>
      <c r="T46" s="5" t="s">
        <v>182</v>
      </c>
      <c r="U46" s="5"/>
      <c r="V46" s="5"/>
      <c r="W46" s="5"/>
      <c r="X46" s="5"/>
      <c r="Y46" s="5"/>
      <c r="Z46" s="5"/>
      <c r="AA46" s="5"/>
      <c r="AB46" s="5"/>
      <c r="AC46" s="5"/>
      <c r="AD46" s="5" t="s">
        <v>27</v>
      </c>
      <c r="AF46" s="5" t="s">
        <v>27</v>
      </c>
      <c r="AH46" s="5" t="s">
        <v>27</v>
      </c>
      <c r="AJ46" s="5" t="s">
        <v>27</v>
      </c>
      <c r="AK46" s="5"/>
      <c r="AR46" s="5"/>
      <c r="AS46" s="5"/>
      <c r="AT46" s="5" t="s">
        <v>36</v>
      </c>
      <c r="AU46" s="5"/>
      <c r="AV46" s="5" t="s">
        <v>36</v>
      </c>
      <c r="AW46" s="5"/>
      <c r="AX46" s="5" t="s">
        <v>36</v>
      </c>
      <c r="AY46" s="5"/>
      <c r="AZ46" s="5" t="s">
        <v>36</v>
      </c>
      <c r="BA46" s="5"/>
      <c r="BB46" s="5" t="s">
        <v>23</v>
      </c>
      <c r="BC46" s="5"/>
      <c r="BD46" s="5" t="s">
        <v>23</v>
      </c>
      <c r="BE46" s="5"/>
      <c r="BF46" s="5" t="s">
        <v>23</v>
      </c>
      <c r="BG46" s="5"/>
      <c r="BH46" s="5" t="s">
        <v>23</v>
      </c>
    </row>
    <row r="47" spans="2:60" ht="12.75">
      <c r="B47" s="7" t="s">
        <v>61</v>
      </c>
      <c r="F47" s="5" t="s">
        <v>75</v>
      </c>
      <c r="G47" s="5"/>
      <c r="H47" s="5" t="s">
        <v>75</v>
      </c>
      <c r="I47" s="5"/>
      <c r="J47" s="5" t="s">
        <v>75</v>
      </c>
      <c r="K47" s="5"/>
      <c r="L47" s="5" t="s">
        <v>75</v>
      </c>
      <c r="M47" s="5"/>
      <c r="N47" s="5" t="s">
        <v>74</v>
      </c>
      <c r="P47" s="5" t="s">
        <v>74</v>
      </c>
      <c r="R47" s="5" t="s">
        <v>74</v>
      </c>
      <c r="T47" s="5" t="s">
        <v>74</v>
      </c>
      <c r="U47" s="5"/>
      <c r="V47" s="5" t="s">
        <v>103</v>
      </c>
      <c r="W47" s="5"/>
      <c r="X47" s="5" t="s">
        <v>103</v>
      </c>
      <c r="Y47" s="5"/>
      <c r="Z47" s="5" t="s">
        <v>103</v>
      </c>
      <c r="AA47" s="5"/>
      <c r="AB47" s="5" t="s">
        <v>103</v>
      </c>
      <c r="AC47" s="5"/>
      <c r="AD47" s="5" t="s">
        <v>27</v>
      </c>
      <c r="AF47" s="5" t="s">
        <v>27</v>
      </c>
      <c r="AH47" s="5" t="s">
        <v>27</v>
      </c>
      <c r="AJ47" s="5" t="s">
        <v>27</v>
      </c>
      <c r="AK47" s="5"/>
      <c r="AL47" s="5" t="s">
        <v>93</v>
      </c>
      <c r="AN47" s="5" t="s">
        <v>93</v>
      </c>
      <c r="AP47" s="5" t="s">
        <v>93</v>
      </c>
      <c r="AR47" s="5" t="s">
        <v>93</v>
      </c>
      <c r="AS47" s="5"/>
      <c r="AT47" s="5"/>
      <c r="AU47" s="5"/>
      <c r="AV47" s="5"/>
      <c r="AW47" s="5"/>
      <c r="AX47" s="5"/>
      <c r="AY47" s="5"/>
      <c r="AZ47" s="5"/>
      <c r="BA47" s="5"/>
      <c r="BB47" s="5" t="s">
        <v>23</v>
      </c>
      <c r="BC47" s="5"/>
      <c r="BD47" s="5" t="s">
        <v>23</v>
      </c>
      <c r="BE47" s="5"/>
      <c r="BF47" s="5" t="s">
        <v>23</v>
      </c>
      <c r="BG47" s="5"/>
      <c r="BH47" s="5" t="s">
        <v>23</v>
      </c>
    </row>
    <row r="48" spans="2:57" ht="12.75">
      <c r="B48" s="7" t="s">
        <v>65</v>
      </c>
      <c r="D48" s="7" t="s">
        <v>73</v>
      </c>
      <c r="F48" s="57">
        <v>635000</v>
      </c>
      <c r="G48" s="57"/>
      <c r="H48" s="57">
        <v>635000</v>
      </c>
      <c r="I48" s="57"/>
      <c r="J48" s="57">
        <v>635000</v>
      </c>
      <c r="K48" s="57"/>
      <c r="L48" s="57">
        <f aca="true" t="shared" si="18" ref="L48:L60">AVERAGE(F48:J48)</f>
        <v>635000</v>
      </c>
      <c r="M48" s="57"/>
      <c r="N48" s="57">
        <v>32200000</v>
      </c>
      <c r="O48" s="57"/>
      <c r="P48" s="57">
        <v>31600000</v>
      </c>
      <c r="Q48" s="57"/>
      <c r="R48" s="57">
        <v>31500000</v>
      </c>
      <c r="S48" s="57"/>
      <c r="T48" s="57">
        <f aca="true" t="shared" si="19" ref="T48:T60">AVERAGE(N48:R48)</f>
        <v>31766666.666666668</v>
      </c>
      <c r="U48" s="57"/>
      <c r="V48" s="57">
        <v>816000</v>
      </c>
      <c r="W48" s="57"/>
      <c r="X48" s="57">
        <v>907000</v>
      </c>
      <c r="Y48" s="57"/>
      <c r="Z48" s="57">
        <v>907000</v>
      </c>
      <c r="AA48" s="57"/>
      <c r="AB48" s="57">
        <f aca="true" t="shared" si="20" ref="AB48:AB60">AVERAGE(V48:Z48)</f>
        <v>876666.6666666666</v>
      </c>
      <c r="AC48" s="57"/>
      <c r="AD48" s="57">
        <v>225000</v>
      </c>
      <c r="AE48" s="57"/>
      <c r="AF48" s="57">
        <v>227000</v>
      </c>
      <c r="AG48" s="57"/>
      <c r="AH48" s="57">
        <v>227000</v>
      </c>
      <c r="AI48" s="57"/>
      <c r="AJ48" s="57"/>
      <c r="AK48" s="57"/>
      <c r="AL48" s="57">
        <v>4150000</v>
      </c>
      <c r="AM48" s="57"/>
      <c r="AN48" s="57">
        <v>3850000</v>
      </c>
      <c r="AO48" s="57"/>
      <c r="AP48" s="57">
        <v>3870000</v>
      </c>
      <c r="AQ48" s="57"/>
      <c r="AR48" s="57">
        <f aca="true" t="shared" si="21" ref="AR48:AR60">AVERAGE(AL48:AP48)</f>
        <v>3956666.6666666665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2:60" ht="12.75">
      <c r="B49" s="7" t="s">
        <v>63</v>
      </c>
      <c r="D49" s="7" t="s">
        <v>33</v>
      </c>
      <c r="F49" s="57">
        <v>18.8</v>
      </c>
      <c r="G49" s="57"/>
      <c r="H49" s="57">
        <v>22.6</v>
      </c>
      <c r="I49" s="57"/>
      <c r="J49" s="57">
        <v>23</v>
      </c>
      <c r="K49" s="57"/>
      <c r="L49" s="57">
        <f t="shared" si="18"/>
        <v>21.46666666666667</v>
      </c>
      <c r="M49" s="57"/>
      <c r="N49" s="57">
        <v>0</v>
      </c>
      <c r="O49" s="57"/>
      <c r="P49" s="57">
        <v>0</v>
      </c>
      <c r="Q49" s="57"/>
      <c r="R49" s="57">
        <v>0</v>
      </c>
      <c r="S49" s="57"/>
      <c r="T49" s="57">
        <f t="shared" si="19"/>
        <v>0</v>
      </c>
      <c r="U49" s="57"/>
      <c r="V49" s="57">
        <v>0</v>
      </c>
      <c r="W49" s="57"/>
      <c r="X49" s="57">
        <v>0</v>
      </c>
      <c r="Y49" s="57"/>
      <c r="Z49" s="57">
        <v>0</v>
      </c>
      <c r="AA49" s="57"/>
      <c r="AB49" s="57">
        <f t="shared" si="20"/>
        <v>0</v>
      </c>
      <c r="AC49" s="57"/>
      <c r="AD49" s="57"/>
      <c r="AE49" s="57"/>
      <c r="AF49" s="57"/>
      <c r="AG49" s="57"/>
      <c r="AH49" s="57"/>
      <c r="AI49" s="57"/>
      <c r="AJ49" s="57"/>
      <c r="AK49" s="57"/>
      <c r="AL49" s="57">
        <v>103</v>
      </c>
      <c r="AM49" s="57"/>
      <c r="AN49" s="57">
        <v>130</v>
      </c>
      <c r="AO49" s="57"/>
      <c r="AP49" s="57">
        <v>130</v>
      </c>
      <c r="AQ49" s="57"/>
      <c r="AR49" s="57">
        <f>AVERAGE(AL49,AN49,AP49)</f>
        <v>121</v>
      </c>
      <c r="AS49" s="57"/>
      <c r="AT49" s="57">
        <f>AL49</f>
        <v>103</v>
      </c>
      <c r="AU49" s="57"/>
      <c r="AV49" s="57">
        <f>AN49</f>
        <v>130</v>
      </c>
      <c r="AW49" s="57"/>
      <c r="AX49" s="57">
        <f>AP49</f>
        <v>130</v>
      </c>
      <c r="AY49" s="57"/>
      <c r="AZ49" s="57">
        <f>AR49</f>
        <v>121</v>
      </c>
      <c r="BA49" s="57"/>
      <c r="BB49" s="60">
        <f>N49+F49+AL49+AD49+V49</f>
        <v>121.8</v>
      </c>
      <c r="BC49" s="60"/>
      <c r="BD49" s="60">
        <f>P49+H49+AN49+AF49+X49</f>
        <v>152.6</v>
      </c>
      <c r="BE49" s="60"/>
      <c r="BF49" s="60">
        <f>R49+J49+AP49+AH49+Z49</f>
        <v>153</v>
      </c>
      <c r="BG49" s="60"/>
      <c r="BH49" s="60">
        <f>T49+L49+AR49+AJ49+AB49</f>
        <v>142.46666666666667</v>
      </c>
    </row>
    <row r="50" spans="2:59" ht="12.75">
      <c r="B50" s="7" t="s">
        <v>22</v>
      </c>
      <c r="D50" s="7" t="s">
        <v>73</v>
      </c>
      <c r="F50">
        <v>472</v>
      </c>
      <c r="G50"/>
      <c r="H50">
        <v>408</v>
      </c>
      <c r="I50"/>
      <c r="J50">
        <v>408</v>
      </c>
      <c r="K50"/>
      <c r="L50" s="35">
        <f t="shared" si="18"/>
        <v>429.3333333333333</v>
      </c>
      <c r="M50" s="35"/>
      <c r="N50">
        <v>5280</v>
      </c>
      <c r="O50"/>
      <c r="P50">
        <v>5710</v>
      </c>
      <c r="Q50"/>
      <c r="R50">
        <v>5260</v>
      </c>
      <c r="S50"/>
      <c r="T50" s="57">
        <f t="shared" si="19"/>
        <v>5416.666666666667</v>
      </c>
      <c r="U50" s="35"/>
      <c r="V50">
        <v>14</v>
      </c>
      <c r="W50"/>
      <c r="X50">
        <v>15.9</v>
      </c>
      <c r="Y50"/>
      <c r="Z50" s="1">
        <v>15.1</v>
      </c>
      <c r="AA50" s="36"/>
      <c r="AB50" s="13">
        <f t="shared" si="20"/>
        <v>15</v>
      </c>
      <c r="AC50" s="35"/>
      <c r="AD50" s="57">
        <v>171000</v>
      </c>
      <c r="AE50" s="57"/>
      <c r="AF50" s="57">
        <v>174000</v>
      </c>
      <c r="AG50" s="57"/>
      <c r="AH50" s="57">
        <v>174000</v>
      </c>
      <c r="AI50" s="57"/>
      <c r="AJ50" s="57">
        <f>AVERAGE(AD50:AH50)</f>
        <v>173000</v>
      </c>
      <c r="AK50" s="35"/>
      <c r="AL50">
        <v>45700</v>
      </c>
      <c r="AM50"/>
      <c r="AN50">
        <v>32700</v>
      </c>
      <c r="AO50"/>
      <c r="AP50">
        <v>32500</v>
      </c>
      <c r="AQ50"/>
      <c r="AR50" s="57">
        <f t="shared" si="21"/>
        <v>36966.666666666664</v>
      </c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0"/>
      <c r="BG50" s="30"/>
    </row>
    <row r="51" spans="2:59" ht="12.75">
      <c r="B51" s="7" t="s">
        <v>56</v>
      </c>
      <c r="D51" s="7" t="s">
        <v>73</v>
      </c>
      <c r="F51" s="1">
        <v>0.236</v>
      </c>
      <c r="G51" s="1"/>
      <c r="H51" s="1">
        <v>0.245</v>
      </c>
      <c r="I51" s="1"/>
      <c r="J51" s="1">
        <v>0.163</v>
      </c>
      <c r="K51" s="1"/>
      <c r="L51" s="1">
        <f t="shared" si="18"/>
        <v>0.21466666666666667</v>
      </c>
      <c r="M51" s="35"/>
      <c r="N51">
        <v>32.2</v>
      </c>
      <c r="O51"/>
      <c r="P51">
        <v>31.6</v>
      </c>
      <c r="Q51"/>
      <c r="R51">
        <v>31.5</v>
      </c>
      <c r="S51"/>
      <c r="T51" s="57">
        <f t="shared" si="19"/>
        <v>31.76666666666667</v>
      </c>
      <c r="U51" s="35"/>
      <c r="V51">
        <v>0.816</v>
      </c>
      <c r="W51"/>
      <c r="X51">
        <v>0.907</v>
      </c>
      <c r="Y51"/>
      <c r="Z51" s="1">
        <v>0.907</v>
      </c>
      <c r="AA51" s="36"/>
      <c r="AB51" s="13">
        <f t="shared" si="20"/>
        <v>0.8766666666666666</v>
      </c>
      <c r="AC51" s="35"/>
      <c r="AD51" s="57"/>
      <c r="AE51" s="57"/>
      <c r="AF51" s="57"/>
      <c r="AG51" s="57"/>
      <c r="AH51" s="57"/>
      <c r="AI51" s="57"/>
      <c r="AJ51" s="57"/>
      <c r="AK51"/>
      <c r="AL51">
        <v>357</v>
      </c>
      <c r="AM51"/>
      <c r="AN51">
        <v>150</v>
      </c>
      <c r="AO51"/>
      <c r="AP51">
        <v>136</v>
      </c>
      <c r="AQ51"/>
      <c r="AR51" s="57">
        <f t="shared" si="21"/>
        <v>214.33333333333334</v>
      </c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0"/>
      <c r="BG51" s="30"/>
    </row>
    <row r="52" spans="2:59" ht="12.75">
      <c r="B52" s="7" t="s">
        <v>52</v>
      </c>
      <c r="D52" s="7" t="s">
        <v>73</v>
      </c>
      <c r="F52" s="1">
        <v>21.2</v>
      </c>
      <c r="G52" s="1"/>
      <c r="H52" s="1">
        <v>13.1</v>
      </c>
      <c r="I52" s="1"/>
      <c r="J52" s="1">
        <v>13.1</v>
      </c>
      <c r="K52" s="1"/>
      <c r="L52" s="1">
        <f t="shared" si="18"/>
        <v>15.799999999999999</v>
      </c>
      <c r="M52" s="35"/>
      <c r="N52">
        <v>451</v>
      </c>
      <c r="O52"/>
      <c r="P52">
        <v>474</v>
      </c>
      <c r="Q52"/>
      <c r="R52">
        <v>409</v>
      </c>
      <c r="S52"/>
      <c r="T52" s="57">
        <f t="shared" si="19"/>
        <v>444.6666666666667</v>
      </c>
      <c r="U52" s="35"/>
      <c r="V52">
        <v>4.9</v>
      </c>
      <c r="W52"/>
      <c r="X52">
        <v>6.99</v>
      </c>
      <c r="Y52"/>
      <c r="Z52" s="1">
        <v>6.89</v>
      </c>
      <c r="AA52" s="36"/>
      <c r="AB52" s="13">
        <f t="shared" si="20"/>
        <v>6.260000000000001</v>
      </c>
      <c r="AC52" s="35"/>
      <c r="AD52" s="57">
        <v>4110</v>
      </c>
      <c r="AE52" s="57"/>
      <c r="AF52" s="57">
        <v>4110</v>
      </c>
      <c r="AG52" s="57"/>
      <c r="AH52" s="57">
        <v>4110</v>
      </c>
      <c r="AI52" s="57"/>
      <c r="AJ52" s="57">
        <f>AVERAGE(AD52:AH52)</f>
        <v>4110</v>
      </c>
      <c r="AK52" s="35"/>
      <c r="AL52">
        <v>14.5</v>
      </c>
      <c r="AM52"/>
      <c r="AN52">
        <v>5</v>
      </c>
      <c r="AO52"/>
      <c r="AP52">
        <v>3.1</v>
      </c>
      <c r="AQ52"/>
      <c r="AR52" s="57">
        <f t="shared" si="21"/>
        <v>7.533333333333334</v>
      </c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0"/>
      <c r="BG52" s="30"/>
    </row>
    <row r="53" spans="2:59" ht="12.75">
      <c r="B53" s="7" t="s">
        <v>53</v>
      </c>
      <c r="D53" s="7" t="s">
        <v>73</v>
      </c>
      <c r="F53" s="1">
        <v>1.18</v>
      </c>
      <c r="G53" s="1"/>
      <c r="H53" s="1">
        <v>98</v>
      </c>
      <c r="I53" s="1"/>
      <c r="J53" s="1">
        <v>106</v>
      </c>
      <c r="K53" s="1"/>
      <c r="L53" s="1">
        <f t="shared" si="18"/>
        <v>68.39333333333333</v>
      </c>
      <c r="M53" s="35"/>
      <c r="N53">
        <v>2540</v>
      </c>
      <c r="O53"/>
      <c r="P53">
        <v>2530</v>
      </c>
      <c r="Q53"/>
      <c r="R53">
        <v>2330</v>
      </c>
      <c r="S53"/>
      <c r="T53" s="57">
        <f t="shared" si="19"/>
        <v>2466.6666666666665</v>
      </c>
      <c r="U53" s="35"/>
      <c r="V53">
        <v>400</v>
      </c>
      <c r="W53"/>
      <c r="X53">
        <v>372</v>
      </c>
      <c r="Y53"/>
      <c r="Z53" s="1">
        <v>390</v>
      </c>
      <c r="AA53" s="36"/>
      <c r="AB53" s="13">
        <f t="shared" si="20"/>
        <v>387.3333333333333</v>
      </c>
      <c r="AC53" s="35"/>
      <c r="AD53" s="57"/>
      <c r="AE53" s="57"/>
      <c r="AF53" s="57"/>
      <c r="AG53" s="57"/>
      <c r="AH53" s="57"/>
      <c r="AI53" s="57"/>
      <c r="AJ53" s="57"/>
      <c r="AK53"/>
      <c r="AL53" s="1">
        <v>5.4</v>
      </c>
      <c r="AM53" s="1"/>
      <c r="AN53" s="1">
        <v>2.31</v>
      </c>
      <c r="AO53" s="1"/>
      <c r="AP53" s="1">
        <v>659</v>
      </c>
      <c r="AQ53"/>
      <c r="AR53" s="57">
        <f t="shared" si="21"/>
        <v>222.23666666666668</v>
      </c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0"/>
      <c r="BG53" s="30"/>
    </row>
    <row r="54" spans="2:59" ht="12.75">
      <c r="B54" s="7" t="s">
        <v>54</v>
      </c>
      <c r="D54" s="7" t="s">
        <v>73</v>
      </c>
      <c r="F54" s="1">
        <v>2</v>
      </c>
      <c r="G54" s="1"/>
      <c r="H54" s="1">
        <v>1.47</v>
      </c>
      <c r="I54" s="1"/>
      <c r="J54" s="1">
        <v>1.47</v>
      </c>
      <c r="K54" s="1"/>
      <c r="L54" s="1">
        <f t="shared" si="18"/>
        <v>1.6466666666666665</v>
      </c>
      <c r="M54" s="35"/>
      <c r="N54">
        <v>0</v>
      </c>
      <c r="O54"/>
      <c r="P54">
        <v>0</v>
      </c>
      <c r="Q54"/>
      <c r="R54">
        <v>0</v>
      </c>
      <c r="S54"/>
      <c r="T54" s="57">
        <f t="shared" si="19"/>
        <v>0</v>
      </c>
      <c r="U54" s="35"/>
      <c r="V54">
        <v>0</v>
      </c>
      <c r="W54"/>
      <c r="X54">
        <v>0.91</v>
      </c>
      <c r="Y54"/>
      <c r="Z54" s="1">
        <v>0.998</v>
      </c>
      <c r="AA54" s="36"/>
      <c r="AB54" s="13">
        <f t="shared" si="20"/>
        <v>0.636</v>
      </c>
      <c r="AC54" s="35"/>
      <c r="AD54" s="57">
        <v>259</v>
      </c>
      <c r="AE54" s="57"/>
      <c r="AF54" s="57">
        <v>259</v>
      </c>
      <c r="AG54" s="57"/>
      <c r="AH54" s="57">
        <v>259</v>
      </c>
      <c r="AI54" s="57"/>
      <c r="AJ54" s="57">
        <f>AVERAGE(AD54:AH54)</f>
        <v>259</v>
      </c>
      <c r="AK54" s="35"/>
      <c r="AL54" s="1">
        <v>0</v>
      </c>
      <c r="AM54" s="1"/>
      <c r="AN54" s="1">
        <v>0</v>
      </c>
      <c r="AO54" s="1"/>
      <c r="AP54" s="1">
        <v>0</v>
      </c>
      <c r="AQ54"/>
      <c r="AR54" s="57">
        <f t="shared" si="21"/>
        <v>0</v>
      </c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0"/>
      <c r="BG54" s="30"/>
    </row>
    <row r="55" spans="2:59" ht="12.75">
      <c r="B55" s="7" t="s">
        <v>58</v>
      </c>
      <c r="D55" s="7" t="s">
        <v>73</v>
      </c>
      <c r="F55" s="1">
        <v>0.118</v>
      </c>
      <c r="G55" s="1"/>
      <c r="H55" s="1">
        <v>0.082</v>
      </c>
      <c r="I55" s="1"/>
      <c r="J55" s="1">
        <v>0.082</v>
      </c>
      <c r="K55" s="1"/>
      <c r="L55" s="1">
        <f t="shared" si="18"/>
        <v>0.09400000000000001</v>
      </c>
      <c r="M55" s="35"/>
      <c r="N55">
        <v>0</v>
      </c>
      <c r="O55"/>
      <c r="P55">
        <v>0</v>
      </c>
      <c r="Q55"/>
      <c r="R55">
        <v>0</v>
      </c>
      <c r="S55"/>
      <c r="T55" s="57">
        <f t="shared" si="19"/>
        <v>0</v>
      </c>
      <c r="U55" s="35"/>
      <c r="V55">
        <v>0.82</v>
      </c>
      <c r="W55"/>
      <c r="X55">
        <v>0.91</v>
      </c>
      <c r="Y55"/>
      <c r="Z55" s="1">
        <v>0.907</v>
      </c>
      <c r="AA55" s="36"/>
      <c r="AB55" s="13">
        <f t="shared" si="20"/>
        <v>0.879</v>
      </c>
      <c r="AC55" s="35"/>
      <c r="AD55" s="57">
        <v>2150</v>
      </c>
      <c r="AE55" s="57"/>
      <c r="AF55" s="57">
        <v>2150</v>
      </c>
      <c r="AG55" s="57"/>
      <c r="AH55" s="57">
        <v>2150</v>
      </c>
      <c r="AI55" s="57"/>
      <c r="AJ55" s="57">
        <f>AVERAGE(AD55:AH55)</f>
        <v>2150</v>
      </c>
      <c r="AK55" s="35"/>
      <c r="AL55" s="1">
        <v>0</v>
      </c>
      <c r="AM55" s="1"/>
      <c r="AN55" s="1">
        <v>0</v>
      </c>
      <c r="AO55" s="1"/>
      <c r="AP55" s="1">
        <v>0</v>
      </c>
      <c r="AQ55"/>
      <c r="AR55" s="57">
        <f t="shared" si="21"/>
        <v>0</v>
      </c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0"/>
      <c r="BG55" s="30"/>
    </row>
    <row r="56" spans="2:59" ht="12.75">
      <c r="B56" s="7" t="s">
        <v>60</v>
      </c>
      <c r="D56" s="7" t="s">
        <v>73</v>
      </c>
      <c r="F56" s="1">
        <v>10.4</v>
      </c>
      <c r="G56" s="1"/>
      <c r="H56" s="1">
        <v>9.8</v>
      </c>
      <c r="I56" s="1"/>
      <c r="J56" s="1">
        <v>8.98</v>
      </c>
      <c r="K56" s="1"/>
      <c r="L56" s="1">
        <f t="shared" si="18"/>
        <v>9.726666666666668</v>
      </c>
      <c r="M56" s="35"/>
      <c r="N56">
        <v>483</v>
      </c>
      <c r="O56"/>
      <c r="P56">
        <v>600</v>
      </c>
      <c r="Q56"/>
      <c r="R56">
        <v>504</v>
      </c>
      <c r="S56"/>
      <c r="T56" s="57">
        <f t="shared" si="19"/>
        <v>529</v>
      </c>
      <c r="U56" s="35"/>
      <c r="V56">
        <v>1060</v>
      </c>
      <c r="W56"/>
      <c r="X56">
        <v>898</v>
      </c>
      <c r="Y56"/>
      <c r="Z56" s="1">
        <v>907</v>
      </c>
      <c r="AA56" s="36"/>
      <c r="AB56" s="13">
        <f t="shared" si="20"/>
        <v>955</v>
      </c>
      <c r="AC56" s="35"/>
      <c r="AD56" s="57">
        <v>27200</v>
      </c>
      <c r="AE56" s="57"/>
      <c r="AF56" s="57">
        <v>27200</v>
      </c>
      <c r="AG56" s="57"/>
      <c r="AH56" s="57">
        <v>27200</v>
      </c>
      <c r="AI56" s="57"/>
      <c r="AJ56" s="57">
        <f>AVERAGE(AD56:AH56)</f>
        <v>27200</v>
      </c>
      <c r="AK56" s="35"/>
      <c r="AL56" s="1">
        <v>24.9</v>
      </c>
      <c r="AM56" s="1"/>
      <c r="AN56" s="1">
        <v>13.5</v>
      </c>
      <c r="AO56" s="1"/>
      <c r="AP56" s="1">
        <v>12.4</v>
      </c>
      <c r="AQ56"/>
      <c r="AR56" s="57">
        <f t="shared" si="21"/>
        <v>16.933333333333334</v>
      </c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0"/>
      <c r="BG56" s="30"/>
    </row>
    <row r="57" spans="2:59" ht="12.75">
      <c r="B57" s="7" t="s">
        <v>57</v>
      </c>
      <c r="D57" s="7" t="s">
        <v>73</v>
      </c>
      <c r="F57" s="1">
        <v>8.26</v>
      </c>
      <c r="G57" s="1"/>
      <c r="H57" s="1">
        <v>15.5</v>
      </c>
      <c r="I57" s="1"/>
      <c r="J57" s="1">
        <v>12.2</v>
      </c>
      <c r="K57" s="1"/>
      <c r="L57" s="1">
        <f t="shared" si="18"/>
        <v>11.986666666666665</v>
      </c>
      <c r="M57" s="35"/>
      <c r="N57">
        <v>116</v>
      </c>
      <c r="O57"/>
      <c r="P57">
        <v>123</v>
      </c>
      <c r="Q57"/>
      <c r="R57">
        <v>409</v>
      </c>
      <c r="S57"/>
      <c r="T57" s="57">
        <f t="shared" si="19"/>
        <v>216</v>
      </c>
      <c r="U57" s="35"/>
      <c r="V57">
        <v>71</v>
      </c>
      <c r="W57"/>
      <c r="X57">
        <v>109</v>
      </c>
      <c r="Y57"/>
      <c r="Z57" s="1">
        <v>90.7</v>
      </c>
      <c r="AA57" s="36"/>
      <c r="AB57" s="13">
        <f t="shared" si="20"/>
        <v>90.23333333333333</v>
      </c>
      <c r="AC57" s="35"/>
      <c r="AD57" s="57">
        <v>19700</v>
      </c>
      <c r="AE57" s="57"/>
      <c r="AF57" s="57">
        <v>19700</v>
      </c>
      <c r="AG57" s="57"/>
      <c r="AH57" s="57">
        <v>19700</v>
      </c>
      <c r="AI57" s="57"/>
      <c r="AJ57" s="57">
        <f>AVERAGE(AD57:AH57)</f>
        <v>19700</v>
      </c>
      <c r="AK57" s="35"/>
      <c r="AL57" s="1">
        <v>11.6</v>
      </c>
      <c r="AM57" s="1"/>
      <c r="AN57" s="1">
        <v>10.4</v>
      </c>
      <c r="AO57" s="1"/>
      <c r="AP57" s="1">
        <v>15.5</v>
      </c>
      <c r="AQ57"/>
      <c r="AR57" s="57">
        <f t="shared" si="21"/>
        <v>12.5</v>
      </c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0"/>
      <c r="BG57" s="30"/>
    </row>
    <row r="58" spans="2:60" ht="12.75">
      <c r="B58" s="7" t="s">
        <v>64</v>
      </c>
      <c r="D58" s="7" t="s">
        <v>73</v>
      </c>
      <c r="F58" s="1">
        <v>0.236</v>
      </c>
      <c r="G58" s="1"/>
      <c r="H58" s="1">
        <v>0.163</v>
      </c>
      <c r="I58" s="1"/>
      <c r="J58" s="1">
        <v>2.12</v>
      </c>
      <c r="K58" s="1"/>
      <c r="L58" s="1">
        <f t="shared" si="18"/>
        <v>0.8396666666666667</v>
      </c>
      <c r="M58" s="35"/>
      <c r="N58">
        <v>0.966</v>
      </c>
      <c r="O58"/>
      <c r="P58">
        <v>1.58</v>
      </c>
      <c r="Q58"/>
      <c r="R58">
        <v>1.57</v>
      </c>
      <c r="S58"/>
      <c r="T58" s="57">
        <f t="shared" si="19"/>
        <v>1.372</v>
      </c>
      <c r="U58" s="35"/>
      <c r="V58">
        <v>0.33</v>
      </c>
      <c r="W58"/>
      <c r="X58">
        <v>0.091</v>
      </c>
      <c r="Y58"/>
      <c r="Z58" s="1">
        <v>0.0181</v>
      </c>
      <c r="AA58" s="36"/>
      <c r="AB58" s="13">
        <f t="shared" si="20"/>
        <v>0.14636666666666667</v>
      </c>
      <c r="AC58" s="35"/>
      <c r="AD58"/>
      <c r="AE58"/>
      <c r="AF58"/>
      <c r="AG58"/>
      <c r="AH58"/>
      <c r="AI58"/>
      <c r="AJ58"/>
      <c r="AK58"/>
      <c r="AL58" s="1">
        <v>0.125</v>
      </c>
      <c r="AM58" s="1"/>
      <c r="AN58" s="1">
        <v>0.192</v>
      </c>
      <c r="AO58" s="1"/>
      <c r="AP58" s="1">
        <v>0.387</v>
      </c>
      <c r="AQ58"/>
      <c r="AR58" s="57">
        <f t="shared" si="21"/>
        <v>0.23466666666666666</v>
      </c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0"/>
      <c r="BG58" s="30"/>
      <c r="BH58" s="37">
        <f>T58+L58+AR58+AJ58</f>
        <v>2.4463333333333335</v>
      </c>
    </row>
    <row r="59" spans="2:59" ht="12.75">
      <c r="B59" s="7" t="s">
        <v>59</v>
      </c>
      <c r="D59" s="7" t="s">
        <v>73</v>
      </c>
      <c r="F59" s="1">
        <v>0.118</v>
      </c>
      <c r="G59" s="1"/>
      <c r="H59" s="1">
        <v>0.082</v>
      </c>
      <c r="I59" s="1"/>
      <c r="J59" s="1">
        <v>0.082</v>
      </c>
      <c r="K59" s="1"/>
      <c r="L59" s="1">
        <f t="shared" si="18"/>
        <v>0.09400000000000001</v>
      </c>
      <c r="M59" s="35"/>
      <c r="N59">
        <v>16.1</v>
      </c>
      <c r="O59"/>
      <c r="P59">
        <v>15.8</v>
      </c>
      <c r="Q59"/>
      <c r="R59">
        <v>15.7</v>
      </c>
      <c r="S59"/>
      <c r="T59" s="57">
        <f t="shared" si="19"/>
        <v>15.866666666666667</v>
      </c>
      <c r="U59" s="35"/>
      <c r="V59">
        <v>0.41</v>
      </c>
      <c r="W59"/>
      <c r="X59">
        <v>0.454</v>
      </c>
      <c r="Y59"/>
      <c r="Z59" s="1">
        <v>0.454</v>
      </c>
      <c r="AA59" s="36"/>
      <c r="AB59" s="13">
        <f t="shared" si="20"/>
        <v>0.43933333333333335</v>
      </c>
      <c r="AC59" s="35"/>
      <c r="AD59"/>
      <c r="AE59"/>
      <c r="AF59"/>
      <c r="AG59"/>
      <c r="AH59"/>
      <c r="AI59"/>
      <c r="AJ59"/>
      <c r="AK59"/>
      <c r="AL59" s="1">
        <v>1.25</v>
      </c>
      <c r="AM59" s="1"/>
      <c r="AN59" s="1">
        <v>0.385</v>
      </c>
      <c r="AO59" s="1"/>
      <c r="AP59" s="1">
        <v>0.387</v>
      </c>
      <c r="AQ59"/>
      <c r="AR59" s="57">
        <f t="shared" si="21"/>
        <v>0.674</v>
      </c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0"/>
      <c r="BG59" s="30"/>
    </row>
    <row r="60" spans="2:59" ht="12.75">
      <c r="B60" s="7" t="s">
        <v>55</v>
      </c>
      <c r="D60" s="7" t="s">
        <v>73</v>
      </c>
      <c r="F60" s="1">
        <v>0.59</v>
      </c>
      <c r="G60" s="1"/>
      <c r="H60" s="1">
        <v>0.41</v>
      </c>
      <c r="I60" s="1"/>
      <c r="J60" s="1">
        <v>0.41</v>
      </c>
      <c r="K60" s="1"/>
      <c r="L60" s="1">
        <f t="shared" si="18"/>
        <v>0.47</v>
      </c>
      <c r="M60" s="35"/>
      <c r="N60">
        <v>32.2</v>
      </c>
      <c r="O60"/>
      <c r="P60">
        <v>31.6</v>
      </c>
      <c r="Q60"/>
      <c r="R60">
        <v>31.5</v>
      </c>
      <c r="S60"/>
      <c r="T60" s="57">
        <f t="shared" si="19"/>
        <v>31.76666666666667</v>
      </c>
      <c r="U60" s="35"/>
      <c r="V60">
        <v>0.82</v>
      </c>
      <c r="W60"/>
      <c r="X60">
        <v>0.91</v>
      </c>
      <c r="Y60"/>
      <c r="Z60" s="1">
        <v>0.907</v>
      </c>
      <c r="AA60" s="36"/>
      <c r="AB60" s="13">
        <f t="shared" si="20"/>
        <v>0.879</v>
      </c>
      <c r="AC60" s="35"/>
      <c r="AD60"/>
      <c r="AE60"/>
      <c r="AF60"/>
      <c r="AG60"/>
      <c r="AH60"/>
      <c r="AI60"/>
      <c r="AJ60"/>
      <c r="AK60"/>
      <c r="AL60" s="1">
        <v>0.831</v>
      </c>
      <c r="AM60" s="1"/>
      <c r="AN60" s="1">
        <v>0.769</v>
      </c>
      <c r="AO60" s="1"/>
      <c r="AP60" s="1">
        <v>0.775</v>
      </c>
      <c r="AQ60"/>
      <c r="AR60" s="57">
        <f t="shared" si="21"/>
        <v>0.7916666666666666</v>
      </c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0"/>
      <c r="BG60" s="30"/>
    </row>
    <row r="62" spans="2:60" ht="12.75">
      <c r="B62" s="7" t="s">
        <v>31</v>
      </c>
      <c r="D62" s="7" t="s">
        <v>16</v>
      </c>
      <c r="F62" s="59">
        <f>'emiss 1'!$G$69</f>
        <v>38789</v>
      </c>
      <c r="G62" s="59"/>
      <c r="H62" s="59">
        <f>'emiss 1'!$I$69</f>
        <v>39180</v>
      </c>
      <c r="I62" s="59"/>
      <c r="J62" s="59">
        <f>'emiss 1'!$K$69</f>
        <v>39150</v>
      </c>
      <c r="K62" s="59"/>
      <c r="L62" s="57">
        <f>'emiss 1'!$M$69</f>
        <v>39039.666666666664</v>
      </c>
      <c r="M62" s="57"/>
      <c r="N62" s="59">
        <f>'emiss 1'!$G$69</f>
        <v>38789</v>
      </c>
      <c r="O62" s="59"/>
      <c r="P62" s="59">
        <f>'emiss 1'!$I$69</f>
        <v>39180</v>
      </c>
      <c r="Q62" s="59"/>
      <c r="R62" s="59">
        <f>'emiss 1'!$K$69</f>
        <v>39150</v>
      </c>
      <c r="S62" s="59"/>
      <c r="T62" s="57">
        <f>'emiss 1'!$M$69</f>
        <v>39039.666666666664</v>
      </c>
      <c r="U62" s="57"/>
      <c r="V62" s="59">
        <f>'emiss 1'!$G$69</f>
        <v>38789</v>
      </c>
      <c r="W62" s="59"/>
      <c r="X62" s="59">
        <f>'emiss 1'!$I$69</f>
        <v>39180</v>
      </c>
      <c r="Y62" s="59"/>
      <c r="Z62" s="59">
        <f>'emiss 1'!$K$69</f>
        <v>39150</v>
      </c>
      <c r="AA62" s="59"/>
      <c r="AB62" s="57">
        <f>'emiss 1'!$M$69</f>
        <v>39039.666666666664</v>
      </c>
      <c r="AC62" s="57"/>
      <c r="AD62" s="59">
        <f>'emiss 1'!$G$69</f>
        <v>38789</v>
      </c>
      <c r="AE62" s="59"/>
      <c r="AF62" s="59">
        <f>'emiss 1'!$I$69</f>
        <v>39180</v>
      </c>
      <c r="AG62" s="59"/>
      <c r="AH62" s="59">
        <f>'emiss 1'!$K$69</f>
        <v>39150</v>
      </c>
      <c r="AI62" s="59"/>
      <c r="AJ62" s="57">
        <f>'emiss 1'!$M$69</f>
        <v>39039.666666666664</v>
      </c>
      <c r="AK62" s="57"/>
      <c r="AL62" s="59">
        <f>'emiss 1'!$G$69</f>
        <v>38789</v>
      </c>
      <c r="AM62" s="59"/>
      <c r="AN62" s="59">
        <f>'emiss 1'!$I$69</f>
        <v>39180</v>
      </c>
      <c r="AO62" s="59"/>
      <c r="AP62" s="59">
        <f>'emiss 1'!$K$69</f>
        <v>39150</v>
      </c>
      <c r="AQ62" s="59"/>
      <c r="AR62" s="57">
        <f>'emiss 1'!$M$69</f>
        <v>39039.666666666664</v>
      </c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H62" s="31"/>
    </row>
    <row r="63" spans="2:60" ht="12.75">
      <c r="B63" s="7" t="s">
        <v>32</v>
      </c>
      <c r="D63" s="7" t="s">
        <v>14</v>
      </c>
      <c r="F63" s="31">
        <f>'emiss 1'!$G$70</f>
        <v>7.2</v>
      </c>
      <c r="G63" s="31"/>
      <c r="H63" s="31">
        <f>'emiss 1'!$I$70</f>
        <v>8.3</v>
      </c>
      <c r="I63" s="31"/>
      <c r="J63" s="31">
        <f>'emiss 1'!$K$70</f>
        <v>6.9</v>
      </c>
      <c r="K63" s="31"/>
      <c r="L63" s="1">
        <f>'emiss 1'!$M$70</f>
        <v>7.466666666666666</v>
      </c>
      <c r="M63" s="1"/>
      <c r="N63" s="31">
        <f>'emiss 1'!$G$70</f>
        <v>7.2</v>
      </c>
      <c r="O63" s="31"/>
      <c r="P63" s="31">
        <f>'emiss 1'!$I$70</f>
        <v>8.3</v>
      </c>
      <c r="Q63" s="31"/>
      <c r="R63" s="31">
        <f>'emiss 1'!$K$70</f>
        <v>6.9</v>
      </c>
      <c r="S63" s="31"/>
      <c r="T63" s="1">
        <f>'emiss 1'!$M$70</f>
        <v>7.466666666666666</v>
      </c>
      <c r="U63" s="1"/>
      <c r="V63" s="31">
        <f>'emiss 1'!$G$70</f>
        <v>7.2</v>
      </c>
      <c r="W63" s="31"/>
      <c r="X63" s="31">
        <f>'emiss 1'!$I$70</f>
        <v>8.3</v>
      </c>
      <c r="Y63" s="31"/>
      <c r="Z63" s="31">
        <f>'emiss 1'!$K$70</f>
        <v>6.9</v>
      </c>
      <c r="AA63" s="31"/>
      <c r="AB63" s="1">
        <f>'emiss 1'!$M$70</f>
        <v>7.466666666666666</v>
      </c>
      <c r="AC63" s="1"/>
      <c r="AD63" s="31">
        <f>'emiss 1'!$G$70</f>
        <v>7.2</v>
      </c>
      <c r="AE63" s="31"/>
      <c r="AF63" s="31">
        <f>'emiss 1'!$I$70</f>
        <v>8.3</v>
      </c>
      <c r="AG63" s="31"/>
      <c r="AH63" s="31">
        <f>'emiss 1'!$K$70</f>
        <v>6.9</v>
      </c>
      <c r="AI63" s="31"/>
      <c r="AJ63" s="1">
        <f>'emiss 1'!$M$70</f>
        <v>7.466666666666666</v>
      </c>
      <c r="AK63" s="1"/>
      <c r="AL63" s="31">
        <f>'emiss 1'!$G$70</f>
        <v>7.2</v>
      </c>
      <c r="AM63" s="31"/>
      <c r="AN63" s="31">
        <f>'emiss 1'!$I$70</f>
        <v>8.3</v>
      </c>
      <c r="AO63" s="31"/>
      <c r="AP63" s="31">
        <f>'emiss 1'!$K$70</f>
        <v>6.9</v>
      </c>
      <c r="AQ63" s="31"/>
      <c r="AR63" s="1">
        <f>'emiss 1'!$M$70</f>
        <v>7.466666666666666</v>
      </c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H63" s="31"/>
    </row>
    <row r="64" ht="12.75">
      <c r="BH64" s="8"/>
    </row>
    <row r="65" spans="2:60" ht="12.75">
      <c r="B65" s="33" t="s">
        <v>43</v>
      </c>
      <c r="C65" s="33"/>
      <c r="BH65" s="8"/>
    </row>
    <row r="66" spans="2:60" ht="12.75">
      <c r="B66" s="7" t="s">
        <v>22</v>
      </c>
      <c r="D66" s="7" t="s">
        <v>29</v>
      </c>
      <c r="F66" s="61">
        <f aca="true" t="shared" si="22" ref="F66:J76">F50/F$62/60/0.0283*1000000*(21-7)/(21-F$63)</f>
        <v>7270.171881724889</v>
      </c>
      <c r="G66" s="61"/>
      <c r="H66" s="61">
        <f t="shared" si="22"/>
        <v>6760.555154632858</v>
      </c>
      <c r="I66" s="61"/>
      <c r="J66" s="61">
        <f t="shared" si="22"/>
        <v>6093.960485083096</v>
      </c>
      <c r="K66" s="61"/>
      <c r="L66" s="61">
        <f>L50/L$62/60/0.0283*1000000*(21-7)/(21-L$63)</f>
        <v>6699.988825271743</v>
      </c>
      <c r="M66" s="61"/>
      <c r="N66" s="61">
        <f>N50/N$62/60/0.0283*1000000*(21-7)/(21-N$63)</f>
        <v>81327.34647353266</v>
      </c>
      <c r="O66" s="61"/>
      <c r="P66" s="61">
        <f>P50/P$62/60/0.0283*1000000*(21-7)/(21-P$63)</f>
        <v>94614.6321886118</v>
      </c>
      <c r="Q66" s="61"/>
      <c r="R66" s="61">
        <f>R50/R$62/60/0.0283*1000000*(21-7)/(21-R$63)</f>
        <v>78564.29448906147</v>
      </c>
      <c r="S66" s="61"/>
      <c r="T66" s="61">
        <f>T50/T$62/60/0.0283*1000000*(21-7)/(21-T$63)</f>
        <v>84530.1385175977</v>
      </c>
      <c r="U66" s="61"/>
      <c r="V66" s="61">
        <f aca="true" t="shared" si="23" ref="V66:AR66">V50/V$62/60/0.0283*1000000*(21-7)/(21-V$63)</f>
        <v>215.64069140709415</v>
      </c>
      <c r="W66" s="61"/>
      <c r="X66" s="61">
        <f t="shared" si="23"/>
        <v>263.4628111731923</v>
      </c>
      <c r="Y66" s="61"/>
      <c r="Z66" s="61">
        <f t="shared" si="23"/>
        <v>225.5362826587126</v>
      </c>
      <c r="AA66" s="61"/>
      <c r="AB66" s="61">
        <f t="shared" si="23"/>
        <v>234.08346051027053</v>
      </c>
      <c r="AC66" s="61"/>
      <c r="AD66" s="61">
        <f t="shared" si="23"/>
        <v>2633897.016472364</v>
      </c>
      <c r="AE66" s="61"/>
      <c r="AF66" s="59">
        <f t="shared" si="23"/>
        <v>2883177.9335934254</v>
      </c>
      <c r="AG66" s="59"/>
      <c r="AH66" s="59">
        <f t="shared" si="23"/>
        <v>2598894.9127560263</v>
      </c>
      <c r="AI66" s="59"/>
      <c r="AJ66" s="59">
        <f t="shared" si="23"/>
        <v>2699762.57788512</v>
      </c>
      <c r="AK66" s="59"/>
      <c r="AL66" s="59">
        <f t="shared" si="23"/>
        <v>703912.8283788717</v>
      </c>
      <c r="AM66" s="59"/>
      <c r="AN66" s="59">
        <f t="shared" si="23"/>
        <v>541838.6116580747</v>
      </c>
      <c r="AO66" s="59"/>
      <c r="AP66" s="59">
        <f t="shared" si="23"/>
        <v>485425.7739343152</v>
      </c>
      <c r="AQ66" s="59"/>
      <c r="AR66" s="59">
        <f t="shared" si="23"/>
        <v>576885.6837908668</v>
      </c>
      <c r="AS66" s="59"/>
      <c r="AT66" s="59">
        <f>SUM(AL66,V66)</f>
        <v>704128.4690702788</v>
      </c>
      <c r="AU66" s="59"/>
      <c r="AV66" s="59">
        <f>SUM(AN66,X66)</f>
        <v>542102.0744692478</v>
      </c>
      <c r="AW66" s="59"/>
      <c r="AX66" s="59">
        <f>SUM(AP66,Z66)</f>
        <v>485651.3102169739</v>
      </c>
      <c r="AY66" s="59"/>
      <c r="AZ66" s="59">
        <f>SUM(AR66,AB66)</f>
        <v>577119.767251377</v>
      </c>
      <c r="BA66" s="31"/>
      <c r="BB66" s="60">
        <f aca="true" t="shared" si="24" ref="BB66:BB76">N66+F66+AL66+AD66+V66</f>
        <v>3426623.0038979</v>
      </c>
      <c r="BC66" s="60"/>
      <c r="BD66" s="60">
        <f aca="true" t="shared" si="25" ref="BD66:BD76">P66+H66+AN66+AF66+X66</f>
        <v>3526655.195405918</v>
      </c>
      <c r="BE66" s="60"/>
      <c r="BF66" s="60">
        <f aca="true" t="shared" si="26" ref="BF66:BF76">R66+J66+AP66+AH66+Z66</f>
        <v>3169204.477947145</v>
      </c>
      <c r="BG66" s="60"/>
      <c r="BH66" s="60">
        <f aca="true" t="shared" si="27" ref="BH66:BH76">T66+L66+AR66+AJ66+AB66</f>
        <v>3368112.4724793667</v>
      </c>
    </row>
    <row r="67" spans="2:60" ht="12.75">
      <c r="B67" s="7" t="s">
        <v>56</v>
      </c>
      <c r="D67" s="7" t="s">
        <v>29</v>
      </c>
      <c r="F67" s="61">
        <f t="shared" si="22"/>
        <v>3.6350859408624445</v>
      </c>
      <c r="G67" s="61"/>
      <c r="H67" s="61">
        <f t="shared" si="22"/>
        <v>4.0596470904045345</v>
      </c>
      <c r="I67" s="61"/>
      <c r="J67" s="61">
        <f t="shared" si="22"/>
        <v>2.4345969585013347</v>
      </c>
      <c r="K67" s="61"/>
      <c r="L67" s="61">
        <f aca="true" t="shared" si="28" ref="L67:R76">L51/L$62/60/0.0283*1000000*(21-7)/(21-L$63)</f>
        <v>3.3499944126358723</v>
      </c>
      <c r="M67" s="61"/>
      <c r="N67" s="61">
        <f t="shared" si="28"/>
        <v>495.9735902363165</v>
      </c>
      <c r="O67" s="61"/>
      <c r="P67" s="61">
        <f t="shared" si="28"/>
        <v>523.6116247215645</v>
      </c>
      <c r="Q67" s="61"/>
      <c r="R67" s="61">
        <f t="shared" si="28"/>
        <v>470.48959627479786</v>
      </c>
      <c r="S67" s="61"/>
      <c r="T67" s="61">
        <f aca="true" t="shared" si="29" ref="T67:AR67">T51/T$62/60/0.0283*1000000*(21-7)/(21-T$63)</f>
        <v>495.73675081397306</v>
      </c>
      <c r="U67" s="61"/>
      <c r="V67" s="61">
        <f t="shared" si="29"/>
        <v>12.568771727727771</v>
      </c>
      <c r="W67" s="61"/>
      <c r="X67" s="61">
        <f t="shared" si="29"/>
        <v>15.028979228558828</v>
      </c>
      <c r="Y67" s="61"/>
      <c r="Z67" s="61">
        <f t="shared" si="29"/>
        <v>13.547113137182276</v>
      </c>
      <c r="AA67" s="61"/>
      <c r="AB67" s="61">
        <f t="shared" si="29"/>
        <v>13.680877803155811</v>
      </c>
      <c r="AC67" s="61"/>
      <c r="AD67" s="61">
        <f t="shared" si="29"/>
        <v>0</v>
      </c>
      <c r="AE67" s="61"/>
      <c r="AF67" s="61">
        <f t="shared" si="29"/>
        <v>0</v>
      </c>
      <c r="AG67" s="61"/>
      <c r="AH67" s="61">
        <f t="shared" si="29"/>
        <v>0</v>
      </c>
      <c r="AI67" s="61"/>
      <c r="AJ67" s="61">
        <f t="shared" si="29"/>
        <v>0</v>
      </c>
      <c r="AK67" s="61"/>
      <c r="AL67" s="61">
        <f t="shared" si="29"/>
        <v>5498.837630880901</v>
      </c>
      <c r="AM67" s="61"/>
      <c r="AN67" s="61">
        <f t="shared" si="29"/>
        <v>2485.498218615021</v>
      </c>
      <c r="AO67" s="61"/>
      <c r="AP67" s="61">
        <f t="shared" si="29"/>
        <v>2031.320161694365</v>
      </c>
      <c r="AQ67" s="61"/>
      <c r="AR67" s="61">
        <f t="shared" si="29"/>
        <v>3344.792557957866</v>
      </c>
      <c r="AS67" s="61"/>
      <c r="AT67" s="61">
        <f aca="true" t="shared" si="30" ref="AT67:AT76">SUM(AL67,V67)</f>
        <v>5511.406402608629</v>
      </c>
      <c r="AU67" s="61"/>
      <c r="AV67" s="61">
        <f aca="true" t="shared" si="31" ref="AV67:AV76">SUM(AN67,X67)</f>
        <v>2500.52719784358</v>
      </c>
      <c r="AW67" s="61"/>
      <c r="AX67" s="61">
        <f aca="true" t="shared" si="32" ref="AX67:AX76">SUM(AP67,Z67)</f>
        <v>2044.8672748315473</v>
      </c>
      <c r="AY67" s="61"/>
      <c r="AZ67" s="61">
        <f aca="true" t="shared" si="33" ref="AZ67:AZ76">SUM(AR67,AB67)</f>
        <v>3358.473435761022</v>
      </c>
      <c r="BA67" s="31"/>
      <c r="BB67" s="60">
        <f t="shared" si="24"/>
        <v>6011.015078785808</v>
      </c>
      <c r="BC67" s="60"/>
      <c r="BD67" s="60">
        <f t="shared" si="25"/>
        <v>3028.1984696555487</v>
      </c>
      <c r="BE67" s="60"/>
      <c r="BF67" s="60">
        <f t="shared" si="26"/>
        <v>2517.7914680648464</v>
      </c>
      <c r="BG67" s="60"/>
      <c r="BH67" s="60">
        <f t="shared" si="27"/>
        <v>3857.5601809876307</v>
      </c>
    </row>
    <row r="68" spans="2:60" ht="12.75">
      <c r="B68" s="7" t="s">
        <v>52</v>
      </c>
      <c r="D68" s="7" t="s">
        <v>29</v>
      </c>
      <c r="F68" s="61">
        <f t="shared" si="22"/>
        <v>326.54161841645686</v>
      </c>
      <c r="G68" s="61"/>
      <c r="H68" s="61">
        <f t="shared" si="22"/>
        <v>217.06684442571185</v>
      </c>
      <c r="I68" s="61"/>
      <c r="J68" s="61">
        <f t="shared" si="22"/>
        <v>195.66392733967783</v>
      </c>
      <c r="K68" s="61"/>
      <c r="L68" s="61">
        <f t="shared" si="28"/>
        <v>246.56791173748493</v>
      </c>
      <c r="M68" s="61"/>
      <c r="N68" s="61">
        <f t="shared" si="28"/>
        <v>6946.710844614247</v>
      </c>
      <c r="O68" s="61"/>
      <c r="P68" s="61">
        <f t="shared" si="28"/>
        <v>7854.174370823468</v>
      </c>
      <c r="Q68" s="61"/>
      <c r="R68" s="61">
        <f t="shared" si="28"/>
        <v>6108.896662742613</v>
      </c>
      <c r="S68" s="61"/>
      <c r="T68" s="61">
        <f aca="true" t="shared" si="34" ref="T68:AR68">T52/T$62/60/0.0283*1000000*(21-7)/(21-T$63)</f>
        <v>6939.27414046002</v>
      </c>
      <c r="U68" s="61"/>
      <c r="V68" s="61">
        <f t="shared" si="34"/>
        <v>75.47424199248296</v>
      </c>
      <c r="W68" s="61"/>
      <c r="X68" s="61">
        <f t="shared" si="34"/>
        <v>115.82421698745999</v>
      </c>
      <c r="Y68" s="61"/>
      <c r="Z68" s="61">
        <f t="shared" si="34"/>
        <v>102.91026407407483</v>
      </c>
      <c r="AA68" s="61"/>
      <c r="AB68" s="61">
        <f t="shared" si="34"/>
        <v>97.69083085295291</v>
      </c>
      <c r="AC68" s="61"/>
      <c r="AD68" s="61">
        <f t="shared" si="34"/>
        <v>63305.94583451121</v>
      </c>
      <c r="AE68" s="61"/>
      <c r="AF68" s="61">
        <f t="shared" si="34"/>
        <v>68102.65119005159</v>
      </c>
      <c r="AG68" s="61"/>
      <c r="AH68" s="61">
        <f t="shared" si="34"/>
        <v>61387.69018061648</v>
      </c>
      <c r="AI68" s="61"/>
      <c r="AJ68" s="61">
        <f t="shared" si="34"/>
        <v>64138.86817981412</v>
      </c>
      <c r="AK68" s="61"/>
      <c r="AL68" s="61">
        <f t="shared" si="34"/>
        <v>223.34214467163324</v>
      </c>
      <c r="AM68" s="61"/>
      <c r="AN68" s="61">
        <f t="shared" si="34"/>
        <v>82.84994062050073</v>
      </c>
      <c r="AO68" s="61"/>
      <c r="AP68" s="61">
        <f t="shared" si="34"/>
        <v>46.302150744503926</v>
      </c>
      <c r="AQ68" s="61"/>
      <c r="AR68" s="61">
        <f t="shared" si="34"/>
        <v>117.56191572293588</v>
      </c>
      <c r="AS68" s="61"/>
      <c r="AT68" s="61">
        <f t="shared" si="30"/>
        <v>298.8163866641162</v>
      </c>
      <c r="AU68" s="61"/>
      <c r="AV68" s="61">
        <f t="shared" si="31"/>
        <v>198.67415760796072</v>
      </c>
      <c r="AW68" s="61"/>
      <c r="AX68" s="61">
        <f t="shared" si="32"/>
        <v>149.21241481857876</v>
      </c>
      <c r="AY68" s="61"/>
      <c r="AZ68" s="61">
        <f t="shared" si="33"/>
        <v>215.2527465758888</v>
      </c>
      <c r="BA68" s="31"/>
      <c r="BB68" s="60">
        <f t="shared" si="24"/>
        <v>70878.01468420603</v>
      </c>
      <c r="BC68" s="60"/>
      <c r="BD68" s="60">
        <f t="shared" si="25"/>
        <v>76372.56656290873</v>
      </c>
      <c r="BE68" s="60"/>
      <c r="BF68" s="60">
        <f t="shared" si="26"/>
        <v>67841.46318551735</v>
      </c>
      <c r="BG68" s="60"/>
      <c r="BH68" s="60">
        <f t="shared" si="27"/>
        <v>71539.96297858751</v>
      </c>
    </row>
    <row r="69" spans="2:60" ht="12.75">
      <c r="B69" s="7" t="s">
        <v>53</v>
      </c>
      <c r="D69" s="7" t="s">
        <v>29</v>
      </c>
      <c r="F69" s="61">
        <f t="shared" si="22"/>
        <v>18.17542970431222</v>
      </c>
      <c r="G69" s="61"/>
      <c r="H69" s="61">
        <f t="shared" si="22"/>
        <v>1623.858836161814</v>
      </c>
      <c r="I69" s="61"/>
      <c r="J69" s="61">
        <f t="shared" si="22"/>
        <v>1583.2348319088435</v>
      </c>
      <c r="K69" s="61"/>
      <c r="L69" s="61">
        <f t="shared" si="28"/>
        <v>1067.3165428332734</v>
      </c>
      <c r="M69" s="61"/>
      <c r="N69" s="61">
        <f t="shared" si="28"/>
        <v>39123.3825838585</v>
      </c>
      <c r="O69" s="61"/>
      <c r="P69" s="61">
        <f t="shared" si="28"/>
        <v>41922.06995397336</v>
      </c>
      <c r="Q69" s="61"/>
      <c r="R69" s="61">
        <f t="shared" si="28"/>
        <v>34801.29394667552</v>
      </c>
      <c r="S69" s="61"/>
      <c r="T69" s="61">
        <f aca="true" t="shared" si="35" ref="T69:AR69">T53/T$62/60/0.0283*1000000*(21-7)/(21-T$63)</f>
        <v>38493.72461724449</v>
      </c>
      <c r="U69" s="61"/>
      <c r="V69" s="61">
        <f t="shared" si="35"/>
        <v>6161.162611631261</v>
      </c>
      <c r="W69" s="61"/>
      <c r="X69" s="61">
        <f t="shared" si="35"/>
        <v>6164.035582165253</v>
      </c>
      <c r="Y69" s="61"/>
      <c r="Z69" s="61">
        <f t="shared" si="35"/>
        <v>5825.109287211782</v>
      </c>
      <c r="AA69" s="61"/>
      <c r="AB69" s="61">
        <f t="shared" si="35"/>
        <v>6044.555135842986</v>
      </c>
      <c r="AC69" s="61"/>
      <c r="AD69" s="61">
        <f t="shared" si="35"/>
        <v>0</v>
      </c>
      <c r="AE69" s="61"/>
      <c r="AF69" s="61">
        <f t="shared" si="35"/>
        <v>0</v>
      </c>
      <c r="AG69" s="61"/>
      <c r="AH69" s="61">
        <f t="shared" si="35"/>
        <v>0</v>
      </c>
      <c r="AI69" s="61"/>
      <c r="AJ69" s="61">
        <f t="shared" si="35"/>
        <v>0</v>
      </c>
      <c r="AK69" s="61"/>
      <c r="AL69" s="61">
        <f t="shared" si="35"/>
        <v>83.17569525702204</v>
      </c>
      <c r="AM69" s="61"/>
      <c r="AN69" s="61">
        <f t="shared" si="35"/>
        <v>38.27667256667133</v>
      </c>
      <c r="AO69" s="61"/>
      <c r="AP69" s="61">
        <f t="shared" si="35"/>
        <v>9842.941077621961</v>
      </c>
      <c r="AQ69" s="61"/>
      <c r="AR69" s="61">
        <f t="shared" si="35"/>
        <v>3468.1285323733878</v>
      </c>
      <c r="AS69" s="61"/>
      <c r="AT69" s="61">
        <f t="shared" si="30"/>
        <v>6244.338306888283</v>
      </c>
      <c r="AU69" s="61"/>
      <c r="AV69" s="61">
        <f t="shared" si="31"/>
        <v>6202.312254731924</v>
      </c>
      <c r="AW69" s="61"/>
      <c r="AX69" s="61">
        <f t="shared" si="32"/>
        <v>15668.050364833744</v>
      </c>
      <c r="AY69" s="61"/>
      <c r="AZ69" s="61">
        <f t="shared" si="33"/>
        <v>9512.683668216374</v>
      </c>
      <c r="BA69" s="31"/>
      <c r="BB69" s="60">
        <f t="shared" si="24"/>
        <v>45385.8963204511</v>
      </c>
      <c r="BC69" s="60"/>
      <c r="BD69" s="60">
        <f t="shared" si="25"/>
        <v>49748.24104486711</v>
      </c>
      <c r="BE69" s="60"/>
      <c r="BF69" s="60">
        <f t="shared" si="26"/>
        <v>52052.5791434181</v>
      </c>
      <c r="BG69" s="60"/>
      <c r="BH69" s="60">
        <f t="shared" si="27"/>
        <v>49073.72482829414</v>
      </c>
    </row>
    <row r="70" spans="2:60" ht="12.75">
      <c r="B70" s="7" t="s">
        <v>54</v>
      </c>
      <c r="D70" s="7" t="s">
        <v>29</v>
      </c>
      <c r="F70" s="61">
        <f t="shared" si="22"/>
        <v>30.805813058156307</v>
      </c>
      <c r="G70" s="61"/>
      <c r="H70" s="61">
        <f t="shared" si="22"/>
        <v>24.35788254242721</v>
      </c>
      <c r="I70" s="61"/>
      <c r="J70" s="61">
        <f t="shared" si="22"/>
        <v>21.956181159490566</v>
      </c>
      <c r="K70" s="61"/>
      <c r="L70" s="61">
        <f t="shared" si="28"/>
        <v>25.6971621093497</v>
      </c>
      <c r="M70" s="61"/>
      <c r="N70" s="61">
        <f t="shared" si="28"/>
        <v>0</v>
      </c>
      <c r="O70" s="61"/>
      <c r="P70" s="61">
        <f t="shared" si="28"/>
        <v>0</v>
      </c>
      <c r="Q70" s="61"/>
      <c r="R70" s="61">
        <f t="shared" si="28"/>
        <v>0</v>
      </c>
      <c r="S70" s="61"/>
      <c r="T70" s="61">
        <f aca="true" t="shared" si="36" ref="T70:AR70">T54/T$62/60/0.0283*1000000*(21-7)/(21-T$63)</f>
        <v>0</v>
      </c>
      <c r="U70" s="61"/>
      <c r="V70" s="61">
        <f t="shared" si="36"/>
        <v>0</v>
      </c>
      <c r="W70" s="61"/>
      <c r="X70" s="61">
        <f t="shared" si="36"/>
        <v>15.07868919293113</v>
      </c>
      <c r="Y70" s="61"/>
      <c r="Z70" s="61">
        <f t="shared" si="36"/>
        <v>14.906305304198357</v>
      </c>
      <c r="AA70" s="61"/>
      <c r="AB70" s="61">
        <f t="shared" si="36"/>
        <v>9.925138725635469</v>
      </c>
      <c r="AC70" s="61"/>
      <c r="AD70" s="61">
        <f t="shared" si="36"/>
        <v>3989.3527910312414</v>
      </c>
      <c r="AE70" s="61"/>
      <c r="AF70" s="61">
        <f t="shared" si="36"/>
        <v>4291.626924141937</v>
      </c>
      <c r="AG70" s="61"/>
      <c r="AH70" s="61">
        <f t="shared" si="36"/>
        <v>3868.4700138150038</v>
      </c>
      <c r="AI70" s="61"/>
      <c r="AJ70" s="61">
        <f t="shared" si="36"/>
        <v>4041.8410848106705</v>
      </c>
      <c r="AK70" s="61"/>
      <c r="AL70" s="61">
        <f t="shared" si="36"/>
        <v>0</v>
      </c>
      <c r="AM70" s="61"/>
      <c r="AN70" s="61">
        <f t="shared" si="36"/>
        <v>0</v>
      </c>
      <c r="AO70" s="61"/>
      <c r="AP70" s="61">
        <f t="shared" si="36"/>
        <v>0</v>
      </c>
      <c r="AQ70" s="61"/>
      <c r="AR70" s="61">
        <f t="shared" si="36"/>
        <v>0</v>
      </c>
      <c r="AS70" s="61"/>
      <c r="AT70" s="61">
        <f t="shared" si="30"/>
        <v>0</v>
      </c>
      <c r="AU70" s="61"/>
      <c r="AV70" s="61">
        <f t="shared" si="31"/>
        <v>15.07868919293113</v>
      </c>
      <c r="AW70" s="61"/>
      <c r="AX70" s="61">
        <f t="shared" si="32"/>
        <v>14.906305304198357</v>
      </c>
      <c r="AY70" s="61"/>
      <c r="AZ70" s="61">
        <f t="shared" si="33"/>
        <v>9.925138725635469</v>
      </c>
      <c r="BA70" s="31"/>
      <c r="BB70" s="60">
        <f t="shared" si="24"/>
        <v>4020.1586040893976</v>
      </c>
      <c r="BC70" s="60"/>
      <c r="BD70" s="60">
        <f t="shared" si="25"/>
        <v>4331.063495877295</v>
      </c>
      <c r="BE70" s="60"/>
      <c r="BF70" s="60">
        <f t="shared" si="26"/>
        <v>3905.3325002786924</v>
      </c>
      <c r="BG70" s="60"/>
      <c r="BH70" s="60">
        <f t="shared" si="27"/>
        <v>4077.4633856456558</v>
      </c>
    </row>
    <row r="71" spans="2:60" ht="12.75">
      <c r="B71" s="7" t="s">
        <v>58</v>
      </c>
      <c r="D71" s="7" t="s">
        <v>29</v>
      </c>
      <c r="F71" s="61">
        <f t="shared" si="22"/>
        <v>1.8175429704312223</v>
      </c>
      <c r="G71" s="61"/>
      <c r="H71" s="61">
        <f t="shared" si="22"/>
        <v>1.3587390261762118</v>
      </c>
      <c r="I71" s="61"/>
      <c r="J71" s="61">
        <f t="shared" si="22"/>
        <v>1.2247665680804265</v>
      </c>
      <c r="K71" s="61"/>
      <c r="L71" s="61">
        <f t="shared" si="28"/>
        <v>1.4669230191976959</v>
      </c>
      <c r="M71" s="61"/>
      <c r="N71" s="61">
        <f t="shared" si="28"/>
        <v>0</v>
      </c>
      <c r="O71" s="61"/>
      <c r="P71" s="61">
        <f t="shared" si="28"/>
        <v>0</v>
      </c>
      <c r="Q71" s="61"/>
      <c r="R71" s="61">
        <f t="shared" si="28"/>
        <v>0</v>
      </c>
      <c r="S71" s="61"/>
      <c r="T71" s="61">
        <f aca="true" t="shared" si="37" ref="T71:AR71">T55/T$62/60/0.0283*1000000*(21-7)/(21-T$63)</f>
        <v>0</v>
      </c>
      <c r="U71" s="61"/>
      <c r="V71" s="61">
        <f t="shared" si="37"/>
        <v>12.630383353844085</v>
      </c>
      <c r="W71" s="61"/>
      <c r="X71" s="61">
        <f t="shared" si="37"/>
        <v>15.07868919293113</v>
      </c>
      <c r="Y71" s="61"/>
      <c r="Z71" s="61">
        <f t="shared" si="37"/>
        <v>13.547113137182276</v>
      </c>
      <c r="AA71" s="61"/>
      <c r="AB71" s="61">
        <f t="shared" si="37"/>
        <v>13.717290785901854</v>
      </c>
      <c r="AC71" s="61"/>
      <c r="AD71" s="61">
        <f t="shared" si="37"/>
        <v>33116.24903751803</v>
      </c>
      <c r="AE71" s="61"/>
      <c r="AF71" s="61">
        <f t="shared" si="37"/>
        <v>35625.47446681531</v>
      </c>
      <c r="AG71" s="61"/>
      <c r="AH71" s="61">
        <f t="shared" si="37"/>
        <v>32112.781967962394</v>
      </c>
      <c r="AI71" s="61"/>
      <c r="AJ71" s="61">
        <f t="shared" si="37"/>
        <v>33551.962673138776</v>
      </c>
      <c r="AK71" s="61"/>
      <c r="AL71" s="61">
        <f t="shared" si="37"/>
        <v>0</v>
      </c>
      <c r="AM71" s="61"/>
      <c r="AN71" s="61">
        <f t="shared" si="37"/>
        <v>0</v>
      </c>
      <c r="AO71" s="61"/>
      <c r="AP71" s="61">
        <f t="shared" si="37"/>
        <v>0</v>
      </c>
      <c r="AQ71" s="61"/>
      <c r="AR71" s="61">
        <f t="shared" si="37"/>
        <v>0</v>
      </c>
      <c r="AS71" s="61"/>
      <c r="AT71" s="61">
        <f t="shared" si="30"/>
        <v>12.630383353844085</v>
      </c>
      <c r="AU71" s="61"/>
      <c r="AV71" s="61">
        <f t="shared" si="31"/>
        <v>15.07868919293113</v>
      </c>
      <c r="AW71" s="61"/>
      <c r="AX71" s="61">
        <f t="shared" si="32"/>
        <v>13.547113137182276</v>
      </c>
      <c r="AY71" s="61"/>
      <c r="AZ71" s="61">
        <f t="shared" si="33"/>
        <v>13.717290785901854</v>
      </c>
      <c r="BA71" s="31"/>
      <c r="BB71" s="60">
        <f t="shared" si="24"/>
        <v>33130.6969638423</v>
      </c>
      <c r="BC71" s="60"/>
      <c r="BD71" s="60">
        <f t="shared" si="25"/>
        <v>35641.91189503441</v>
      </c>
      <c r="BE71" s="60"/>
      <c r="BF71" s="60">
        <f t="shared" si="26"/>
        <v>32127.553847667656</v>
      </c>
      <c r="BG71" s="60"/>
      <c r="BH71" s="60">
        <f t="shared" si="27"/>
        <v>33567.146886943876</v>
      </c>
    </row>
    <row r="72" spans="2:60" ht="12.75">
      <c r="B72" s="7" t="s">
        <v>60</v>
      </c>
      <c r="D72" s="7" t="s">
        <v>29</v>
      </c>
      <c r="F72" s="61">
        <f t="shared" si="22"/>
        <v>160.19022790241277</v>
      </c>
      <c r="G72" s="61"/>
      <c r="H72" s="61">
        <f t="shared" si="22"/>
        <v>162.3858836161814</v>
      </c>
      <c r="I72" s="61"/>
      <c r="J72" s="61">
        <f t="shared" si="22"/>
        <v>134.12687538246618</v>
      </c>
      <c r="K72" s="61"/>
      <c r="L72" s="61">
        <f t="shared" si="28"/>
        <v>151.79011950421548</v>
      </c>
      <c r="M72" s="61"/>
      <c r="N72" s="61">
        <f t="shared" si="28"/>
        <v>7439.603853544748</v>
      </c>
      <c r="O72" s="61"/>
      <c r="P72" s="61">
        <f t="shared" si="28"/>
        <v>9941.992874460084</v>
      </c>
      <c r="Q72" s="61"/>
      <c r="R72" s="61">
        <f t="shared" si="28"/>
        <v>7527.833540396766</v>
      </c>
      <c r="S72" s="61"/>
      <c r="T72" s="61">
        <f aca="true" t="shared" si="38" ref="T72:AR72">T56/T$62/60/0.0283*1000000*(21-7)/(21-T$63)</f>
        <v>8255.343373995542</v>
      </c>
      <c r="U72" s="61"/>
      <c r="V72" s="61">
        <f t="shared" si="38"/>
        <v>16327.080920822844</v>
      </c>
      <c r="W72" s="61"/>
      <c r="X72" s="61">
        <f t="shared" si="38"/>
        <v>14879.849335441928</v>
      </c>
      <c r="Y72" s="61"/>
      <c r="Z72" s="61">
        <f t="shared" si="38"/>
        <v>13547.113137182272</v>
      </c>
      <c r="AA72" s="61"/>
      <c r="AB72" s="61">
        <f t="shared" si="38"/>
        <v>14903.313652487226</v>
      </c>
      <c r="AC72" s="61"/>
      <c r="AD72" s="61">
        <f t="shared" si="38"/>
        <v>418959.0575909257</v>
      </c>
      <c r="AE72" s="61"/>
      <c r="AF72" s="61">
        <f t="shared" si="38"/>
        <v>450703.67697552376</v>
      </c>
      <c r="AG72" s="61"/>
      <c r="AH72" s="61">
        <f t="shared" si="38"/>
        <v>406264.0323388731</v>
      </c>
      <c r="AI72" s="61"/>
      <c r="AJ72" s="61">
        <f t="shared" si="38"/>
        <v>424471.34172529064</v>
      </c>
      <c r="AK72" s="61"/>
      <c r="AL72" s="61">
        <f t="shared" si="38"/>
        <v>383.532372574046</v>
      </c>
      <c r="AM72" s="61"/>
      <c r="AN72" s="61">
        <f t="shared" si="38"/>
        <v>223.69483967535191</v>
      </c>
      <c r="AO72" s="61"/>
      <c r="AP72" s="61">
        <f t="shared" si="38"/>
        <v>185.2086029780157</v>
      </c>
      <c r="AQ72" s="61"/>
      <c r="AR72" s="61">
        <f t="shared" si="38"/>
        <v>264.2542176427054</v>
      </c>
      <c r="AS72" s="61"/>
      <c r="AT72" s="61">
        <f t="shared" si="30"/>
        <v>16710.61329339689</v>
      </c>
      <c r="AU72" s="61"/>
      <c r="AV72" s="61">
        <f t="shared" si="31"/>
        <v>15103.54417511728</v>
      </c>
      <c r="AW72" s="61"/>
      <c r="AX72" s="61">
        <f t="shared" si="32"/>
        <v>13732.321740160287</v>
      </c>
      <c r="AY72" s="61"/>
      <c r="AZ72" s="61">
        <f t="shared" si="33"/>
        <v>15167.567870129931</v>
      </c>
      <c r="BA72" s="31"/>
      <c r="BB72" s="60">
        <f t="shared" si="24"/>
        <v>443269.4649657698</v>
      </c>
      <c r="BC72" s="60"/>
      <c r="BD72" s="60">
        <f t="shared" si="25"/>
        <v>475911.5999087173</v>
      </c>
      <c r="BE72" s="60"/>
      <c r="BF72" s="60">
        <f t="shared" si="26"/>
        <v>427658.31449481257</v>
      </c>
      <c r="BG72" s="60"/>
      <c r="BH72" s="60">
        <f t="shared" si="27"/>
        <v>448046.04308892036</v>
      </c>
    </row>
    <row r="73" spans="2:60" ht="12.75">
      <c r="B73" s="7" t="s">
        <v>57</v>
      </c>
      <c r="D73" s="7" t="s">
        <v>29</v>
      </c>
      <c r="F73" s="61">
        <f t="shared" si="22"/>
        <v>127.22800793018554</v>
      </c>
      <c r="G73" s="61"/>
      <c r="H73" s="61">
        <f t="shared" si="22"/>
        <v>256.8348159235522</v>
      </c>
      <c r="I73" s="61"/>
      <c r="J73" s="61">
        <f t="shared" si="22"/>
        <v>182.22136744611214</v>
      </c>
      <c r="K73" s="61"/>
      <c r="L73" s="61">
        <f t="shared" si="28"/>
        <v>187.05869422109615</v>
      </c>
      <c r="M73" s="61"/>
      <c r="N73" s="61">
        <f t="shared" si="28"/>
        <v>1786.7371573730659</v>
      </c>
      <c r="O73" s="61"/>
      <c r="P73" s="61">
        <f t="shared" si="28"/>
        <v>2038.1085392643179</v>
      </c>
      <c r="Q73" s="61"/>
      <c r="R73" s="61">
        <f t="shared" si="28"/>
        <v>6108.896662742613</v>
      </c>
      <c r="S73" s="61"/>
      <c r="T73" s="61">
        <f aca="true" t="shared" si="39" ref="T73:AR73">T57/T$62/60/0.0283*1000000*(21-7)/(21-T$63)</f>
        <v>3370.801831347896</v>
      </c>
      <c r="U73" s="61"/>
      <c r="V73" s="61">
        <f t="shared" si="39"/>
        <v>1093.606363564549</v>
      </c>
      <c r="W73" s="61"/>
      <c r="X73" s="61">
        <f t="shared" si="39"/>
        <v>1806.1287055269154</v>
      </c>
      <c r="Y73" s="61"/>
      <c r="Z73" s="61">
        <f t="shared" si="39"/>
        <v>1354.7113137182273</v>
      </c>
      <c r="AA73" s="61"/>
      <c r="AB73" s="61">
        <f t="shared" si="39"/>
        <v>1408.1420613362275</v>
      </c>
      <c r="AC73" s="61"/>
      <c r="AD73" s="61">
        <f t="shared" si="39"/>
        <v>303437.25862283964</v>
      </c>
      <c r="AE73" s="61"/>
      <c r="AF73" s="61">
        <f t="shared" si="39"/>
        <v>326428.76604477275</v>
      </c>
      <c r="AG73" s="61"/>
      <c r="AH73" s="61">
        <f t="shared" si="39"/>
        <v>294242.6998924926</v>
      </c>
      <c r="AI73" s="61"/>
      <c r="AJ73" s="61">
        <f t="shared" si="39"/>
        <v>307429.61147015524</v>
      </c>
      <c r="AK73" s="61"/>
      <c r="AL73" s="61">
        <f t="shared" si="39"/>
        <v>178.6737157373066</v>
      </c>
      <c r="AM73" s="61"/>
      <c r="AN73" s="61">
        <f t="shared" si="39"/>
        <v>172.3278764906415</v>
      </c>
      <c r="AO73" s="61"/>
      <c r="AP73" s="61">
        <f t="shared" si="39"/>
        <v>231.51075372251958</v>
      </c>
      <c r="AQ73" s="61"/>
      <c r="AR73" s="61">
        <f t="shared" si="39"/>
        <v>195.06955042522546</v>
      </c>
      <c r="AS73" s="61"/>
      <c r="AT73" s="61">
        <f t="shared" si="30"/>
        <v>1272.2800793018555</v>
      </c>
      <c r="AU73" s="61"/>
      <c r="AV73" s="61">
        <f t="shared" si="31"/>
        <v>1978.456582017557</v>
      </c>
      <c r="AW73" s="61"/>
      <c r="AX73" s="61">
        <f t="shared" si="32"/>
        <v>1586.222067440747</v>
      </c>
      <c r="AY73" s="61"/>
      <c r="AZ73" s="61">
        <f t="shared" si="33"/>
        <v>1603.211611761453</v>
      </c>
      <c r="BA73" s="31"/>
      <c r="BB73" s="60">
        <f t="shared" si="24"/>
        <v>306623.50386744476</v>
      </c>
      <c r="BC73" s="60"/>
      <c r="BD73" s="60">
        <f t="shared" si="25"/>
        <v>330702.1659819782</v>
      </c>
      <c r="BE73" s="60"/>
      <c r="BF73" s="60">
        <f t="shared" si="26"/>
        <v>302120.0399901221</v>
      </c>
      <c r="BG73" s="60"/>
      <c r="BH73" s="60">
        <f t="shared" si="27"/>
        <v>312590.68360748567</v>
      </c>
    </row>
    <row r="74" spans="2:60" ht="12.75">
      <c r="B74" s="7" t="s">
        <v>64</v>
      </c>
      <c r="D74" s="7" t="s">
        <v>29</v>
      </c>
      <c r="F74" s="61">
        <f t="shared" si="22"/>
        <v>3.6350859408624445</v>
      </c>
      <c r="G74" s="61"/>
      <c r="H74" s="61">
        <f t="shared" si="22"/>
        <v>2.700908064228323</v>
      </c>
      <c r="I74" s="61"/>
      <c r="J74" s="61">
        <f t="shared" si="22"/>
        <v>31.664696638176878</v>
      </c>
      <c r="K74" s="61"/>
      <c r="L74" s="61">
        <f t="shared" si="28"/>
        <v>13.103471933897145</v>
      </c>
      <c r="M74" s="61"/>
      <c r="N74" s="61">
        <f t="shared" si="28"/>
        <v>14.879207707089495</v>
      </c>
      <c r="O74" s="61"/>
      <c r="P74" s="61">
        <f t="shared" si="28"/>
        <v>26.18058123607823</v>
      </c>
      <c r="Q74" s="61"/>
      <c r="R74" s="61">
        <f t="shared" si="28"/>
        <v>23.449798925442302</v>
      </c>
      <c r="S74" s="61"/>
      <c r="T74" s="61">
        <f aca="true" t="shared" si="40" ref="T74:AR74">T58/T$62/60/0.0283*1000000*(21-7)/(21-T$63)</f>
        <v>21.41083385467275</v>
      </c>
      <c r="U74" s="61"/>
      <c r="V74" s="61">
        <f t="shared" si="40"/>
        <v>5.08295915459579</v>
      </c>
      <c r="W74" s="61"/>
      <c r="X74" s="61">
        <f t="shared" si="40"/>
        <v>1.5078689192931132</v>
      </c>
      <c r="Y74" s="61"/>
      <c r="Z74" s="61">
        <f t="shared" si="40"/>
        <v>0.27034481563726476</v>
      </c>
      <c r="AA74" s="61"/>
      <c r="AB74" s="61">
        <f t="shared" si="40"/>
        <v>2.28413438911244</v>
      </c>
      <c r="AC74" s="61"/>
      <c r="AD74" s="61">
        <f t="shared" si="40"/>
        <v>0</v>
      </c>
      <c r="AE74" s="61"/>
      <c r="AF74" s="61">
        <f t="shared" si="40"/>
        <v>0</v>
      </c>
      <c r="AG74" s="61"/>
      <c r="AH74" s="61">
        <f t="shared" si="40"/>
        <v>0</v>
      </c>
      <c r="AI74" s="61"/>
      <c r="AJ74" s="61">
        <f t="shared" si="40"/>
        <v>0</v>
      </c>
      <c r="AK74" s="61"/>
      <c r="AL74" s="61">
        <f t="shared" si="40"/>
        <v>1.9253633161347692</v>
      </c>
      <c r="AM74" s="61"/>
      <c r="AN74" s="61">
        <f t="shared" si="40"/>
        <v>3.1814377198272275</v>
      </c>
      <c r="AO74" s="61"/>
      <c r="AP74" s="61">
        <f t="shared" si="40"/>
        <v>5.780300754233232</v>
      </c>
      <c r="AQ74" s="61"/>
      <c r="AR74" s="61">
        <f t="shared" si="40"/>
        <v>3.662105693316233</v>
      </c>
      <c r="AS74" s="61"/>
      <c r="AT74" s="61">
        <f t="shared" si="30"/>
        <v>7.008322470730559</v>
      </c>
      <c r="AU74" s="61"/>
      <c r="AV74" s="61">
        <f t="shared" si="31"/>
        <v>4.689306639120341</v>
      </c>
      <c r="AW74" s="61"/>
      <c r="AX74" s="61">
        <f t="shared" si="32"/>
        <v>6.050645569870497</v>
      </c>
      <c r="AY74" s="61"/>
      <c r="AZ74" s="61">
        <f t="shared" si="33"/>
        <v>5.946240082428673</v>
      </c>
      <c r="BA74" s="31"/>
      <c r="BB74" s="60">
        <f t="shared" si="24"/>
        <v>25.522616118682503</v>
      </c>
      <c r="BC74" s="60"/>
      <c r="BD74" s="60">
        <f t="shared" si="25"/>
        <v>33.570795939426894</v>
      </c>
      <c r="BE74" s="60"/>
      <c r="BF74" s="60">
        <f t="shared" si="26"/>
        <v>61.165141133489676</v>
      </c>
      <c r="BG74" s="60"/>
      <c r="BH74" s="60">
        <f t="shared" si="27"/>
        <v>40.460545870998565</v>
      </c>
    </row>
    <row r="75" spans="2:60" ht="12.75">
      <c r="B75" s="7" t="s">
        <v>59</v>
      </c>
      <c r="D75" s="7" t="s">
        <v>29</v>
      </c>
      <c r="F75" s="61">
        <f t="shared" si="22"/>
        <v>1.8175429704312223</v>
      </c>
      <c r="G75" s="61"/>
      <c r="H75" s="61">
        <f t="shared" si="22"/>
        <v>1.3587390261762118</v>
      </c>
      <c r="I75" s="61"/>
      <c r="J75" s="61">
        <f t="shared" si="22"/>
        <v>1.2247665680804265</v>
      </c>
      <c r="K75" s="61"/>
      <c r="L75" s="61">
        <f t="shared" si="28"/>
        <v>1.4669230191976959</v>
      </c>
      <c r="M75" s="61"/>
      <c r="N75" s="61">
        <f t="shared" si="28"/>
        <v>247.98679511815826</v>
      </c>
      <c r="O75" s="61"/>
      <c r="P75" s="61">
        <f t="shared" si="28"/>
        <v>261.8058123607822</v>
      </c>
      <c r="Q75" s="61"/>
      <c r="R75" s="61">
        <f t="shared" si="28"/>
        <v>234.49798925442303</v>
      </c>
      <c r="S75" s="61"/>
      <c r="T75" s="61">
        <f aca="true" t="shared" si="41" ref="T75:AR75">T59/T$62/60/0.0283*1000000*(21-7)/(21-T$63)</f>
        <v>247.60828267308617</v>
      </c>
      <c r="U75" s="61"/>
      <c r="V75" s="61">
        <f t="shared" si="41"/>
        <v>6.315191676922042</v>
      </c>
      <c r="W75" s="61"/>
      <c r="X75" s="61">
        <f t="shared" si="41"/>
        <v>7.5227746083414635</v>
      </c>
      <c r="Y75" s="61"/>
      <c r="Z75" s="61">
        <f t="shared" si="41"/>
        <v>6.781024657420895</v>
      </c>
      <c r="AA75" s="61"/>
      <c r="AB75" s="61">
        <f t="shared" si="41"/>
        <v>6.856044465611924</v>
      </c>
      <c r="AC75" s="61"/>
      <c r="AD75" s="61">
        <f t="shared" si="41"/>
        <v>0</v>
      </c>
      <c r="AE75" s="61"/>
      <c r="AF75" s="61">
        <f t="shared" si="41"/>
        <v>0</v>
      </c>
      <c r="AG75" s="61"/>
      <c r="AH75" s="61">
        <f t="shared" si="41"/>
        <v>0</v>
      </c>
      <c r="AI75" s="61"/>
      <c r="AJ75" s="61">
        <f t="shared" si="41"/>
        <v>0</v>
      </c>
      <c r="AK75" s="61"/>
      <c r="AL75" s="61">
        <f t="shared" si="41"/>
        <v>19.25363316134769</v>
      </c>
      <c r="AM75" s="61"/>
      <c r="AN75" s="61">
        <f t="shared" si="41"/>
        <v>6.379445427778555</v>
      </c>
      <c r="AO75" s="61"/>
      <c r="AP75" s="61">
        <f t="shared" si="41"/>
        <v>5.780300754233232</v>
      </c>
      <c r="AQ75" s="61"/>
      <c r="AR75" s="61">
        <f t="shared" si="41"/>
        <v>10.518150158928158</v>
      </c>
      <c r="AS75" s="61"/>
      <c r="AT75" s="61">
        <f t="shared" si="30"/>
        <v>25.568824838269734</v>
      </c>
      <c r="AU75" s="61"/>
      <c r="AV75" s="61">
        <f t="shared" si="31"/>
        <v>13.902220036120019</v>
      </c>
      <c r="AW75" s="61"/>
      <c r="AX75" s="61">
        <f t="shared" si="32"/>
        <v>12.561325411654128</v>
      </c>
      <c r="AY75" s="61"/>
      <c r="AZ75" s="61">
        <f t="shared" si="33"/>
        <v>17.37419462454008</v>
      </c>
      <c r="BA75" s="31"/>
      <c r="BB75" s="60">
        <f t="shared" si="24"/>
        <v>275.3731629268592</v>
      </c>
      <c r="BC75" s="60"/>
      <c r="BD75" s="60">
        <f t="shared" si="25"/>
        <v>277.0667714230785</v>
      </c>
      <c r="BE75" s="60"/>
      <c r="BF75" s="60">
        <f t="shared" si="26"/>
        <v>248.28408123415758</v>
      </c>
      <c r="BG75" s="60"/>
      <c r="BH75" s="60">
        <f t="shared" si="27"/>
        <v>266.449400316824</v>
      </c>
    </row>
    <row r="76" spans="2:60" ht="12.75">
      <c r="B76" s="7" t="s">
        <v>55</v>
      </c>
      <c r="D76" s="7" t="s">
        <v>29</v>
      </c>
      <c r="F76" s="61">
        <f t="shared" si="22"/>
        <v>9.08771485215611</v>
      </c>
      <c r="G76" s="61"/>
      <c r="H76" s="61">
        <f t="shared" si="22"/>
        <v>6.793695130881058</v>
      </c>
      <c r="I76" s="61"/>
      <c r="J76" s="61">
        <f t="shared" si="22"/>
        <v>6.12383284040213</v>
      </c>
      <c r="K76" s="61"/>
      <c r="L76" s="61">
        <f t="shared" si="28"/>
        <v>7.334615095988478</v>
      </c>
      <c r="M76" s="61"/>
      <c r="N76" s="61">
        <f t="shared" si="28"/>
        <v>495.9735902363165</v>
      </c>
      <c r="O76" s="61"/>
      <c r="P76" s="61">
        <f t="shared" si="28"/>
        <v>523.6116247215645</v>
      </c>
      <c r="Q76" s="61"/>
      <c r="R76" s="61">
        <f t="shared" si="28"/>
        <v>470.48959627479786</v>
      </c>
      <c r="S76" s="61"/>
      <c r="T76" s="61">
        <f aca="true" t="shared" si="42" ref="T76:AR76">T60/T$62/60/0.0283*1000000*(21-7)/(21-T$63)</f>
        <v>495.73675081397306</v>
      </c>
      <c r="U76" s="61"/>
      <c r="V76" s="61">
        <f t="shared" si="42"/>
        <v>12.630383353844085</v>
      </c>
      <c r="W76" s="61"/>
      <c r="X76" s="61">
        <f t="shared" si="42"/>
        <v>15.07868919293113</v>
      </c>
      <c r="Y76" s="61"/>
      <c r="Z76" s="61">
        <f t="shared" si="42"/>
        <v>13.547113137182276</v>
      </c>
      <c r="AA76" s="61"/>
      <c r="AB76" s="61">
        <f t="shared" si="42"/>
        <v>13.717290785901854</v>
      </c>
      <c r="AC76" s="61"/>
      <c r="AD76" s="61">
        <f t="shared" si="42"/>
        <v>0</v>
      </c>
      <c r="AE76" s="61"/>
      <c r="AF76" s="61">
        <f t="shared" si="42"/>
        <v>0</v>
      </c>
      <c r="AG76" s="61"/>
      <c r="AH76" s="61">
        <f t="shared" si="42"/>
        <v>0</v>
      </c>
      <c r="AI76" s="61"/>
      <c r="AJ76" s="61">
        <f t="shared" si="42"/>
        <v>0</v>
      </c>
      <c r="AK76" s="61"/>
      <c r="AL76" s="61">
        <f t="shared" si="42"/>
        <v>12.799815325663944</v>
      </c>
      <c r="AM76" s="61"/>
      <c r="AN76" s="61">
        <f t="shared" si="42"/>
        <v>12.742320867433008</v>
      </c>
      <c r="AO76" s="61"/>
      <c r="AP76" s="61">
        <f t="shared" si="42"/>
        <v>11.575537686125982</v>
      </c>
      <c r="AQ76" s="61"/>
      <c r="AR76" s="61">
        <f t="shared" si="42"/>
        <v>12.354404860264278</v>
      </c>
      <c r="AS76" s="61"/>
      <c r="AT76" s="61">
        <f t="shared" si="30"/>
        <v>25.43019867950803</v>
      </c>
      <c r="AU76" s="61"/>
      <c r="AV76" s="61">
        <f t="shared" si="31"/>
        <v>27.821010060364138</v>
      </c>
      <c r="AW76" s="61"/>
      <c r="AX76" s="61">
        <f t="shared" si="32"/>
        <v>25.122650823308255</v>
      </c>
      <c r="AY76" s="61"/>
      <c r="AZ76" s="61">
        <f t="shared" si="33"/>
        <v>26.071695646166134</v>
      </c>
      <c r="BA76" s="31"/>
      <c r="BB76" s="60">
        <f t="shared" si="24"/>
        <v>530.4915037679807</v>
      </c>
      <c r="BC76" s="60"/>
      <c r="BD76" s="60">
        <f t="shared" si="25"/>
        <v>558.2263299128097</v>
      </c>
      <c r="BE76" s="60"/>
      <c r="BF76" s="60">
        <f t="shared" si="26"/>
        <v>501.7360799385083</v>
      </c>
      <c r="BG76" s="60"/>
      <c r="BH76" s="60">
        <f t="shared" si="27"/>
        <v>529.1430615561276</v>
      </c>
    </row>
    <row r="77" spans="6:60" ht="12.75">
      <c r="F77" s="61"/>
      <c r="G77" s="61"/>
      <c r="H77" s="61"/>
      <c r="I77" s="61"/>
      <c r="J77" s="61"/>
      <c r="K77" s="61"/>
      <c r="L77" s="62"/>
      <c r="M77" s="62"/>
      <c r="N77" s="63"/>
      <c r="O77" s="63"/>
      <c r="P77" s="63"/>
      <c r="Q77" s="63"/>
      <c r="R77" s="63"/>
      <c r="S77" s="63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3"/>
      <c r="AE77" s="63"/>
      <c r="AF77" s="63"/>
      <c r="AG77" s="63"/>
      <c r="AH77" s="63"/>
      <c r="AI77" s="63"/>
      <c r="AJ77" s="62"/>
      <c r="AK77" s="62"/>
      <c r="AL77" s="63"/>
      <c r="AM77" s="63"/>
      <c r="AN77" s="63"/>
      <c r="AO77" s="63"/>
      <c r="AP77" s="63"/>
      <c r="AQ77" s="63"/>
      <c r="AR77" s="62"/>
      <c r="AS77" s="62"/>
      <c r="AT77" s="62"/>
      <c r="AU77" s="62"/>
      <c r="AV77" s="62"/>
      <c r="AW77" s="62"/>
      <c r="AX77" s="62"/>
      <c r="AY77" s="62"/>
      <c r="AZ77" s="62"/>
      <c r="BB77" s="6"/>
      <c r="BC77" s="6"/>
      <c r="BD77" s="6"/>
      <c r="BE77" s="6"/>
      <c r="BF77" s="6"/>
      <c r="BG77" s="6"/>
      <c r="BH77" s="6"/>
    </row>
    <row r="78" spans="2:60" ht="12.75">
      <c r="B78" s="7" t="s">
        <v>34</v>
      </c>
      <c r="D78" s="7" t="s">
        <v>29</v>
      </c>
      <c r="F78" s="61">
        <f aca="true" t="shared" si="43" ref="F78:T78">F71+F73</f>
        <v>129.04555090061677</v>
      </c>
      <c r="G78" s="61"/>
      <c r="H78" s="61">
        <f t="shared" si="43"/>
        <v>258.1935549497284</v>
      </c>
      <c r="I78" s="61"/>
      <c r="J78" s="61">
        <f t="shared" si="43"/>
        <v>183.44613401419258</v>
      </c>
      <c r="K78" s="61"/>
      <c r="L78" s="61">
        <f t="shared" si="43"/>
        <v>188.52561724029385</v>
      </c>
      <c r="M78" s="61"/>
      <c r="N78" s="61">
        <f t="shared" si="43"/>
        <v>1786.7371573730659</v>
      </c>
      <c r="O78" s="61"/>
      <c r="P78" s="61">
        <f t="shared" si="43"/>
        <v>2038.1085392643179</v>
      </c>
      <c r="Q78" s="61"/>
      <c r="R78" s="61">
        <f t="shared" si="43"/>
        <v>6108.896662742613</v>
      </c>
      <c r="S78" s="61"/>
      <c r="T78" s="61">
        <f t="shared" si="43"/>
        <v>3370.801831347896</v>
      </c>
      <c r="U78" s="61"/>
      <c r="V78" s="61">
        <f aca="true" t="shared" si="44" ref="V78:AH78">V71+V73</f>
        <v>1106.236746918393</v>
      </c>
      <c r="W78" s="61"/>
      <c r="X78" s="61">
        <f t="shared" si="44"/>
        <v>1821.2073947198464</v>
      </c>
      <c r="Y78" s="61"/>
      <c r="Z78" s="61">
        <f t="shared" si="44"/>
        <v>1368.2584268554097</v>
      </c>
      <c r="AA78" s="61"/>
      <c r="AB78" s="61">
        <f t="shared" si="44"/>
        <v>1421.8593521221294</v>
      </c>
      <c r="AC78" s="61"/>
      <c r="AD78" s="61">
        <f t="shared" si="44"/>
        <v>336553.5076603577</v>
      </c>
      <c r="AE78" s="61"/>
      <c r="AF78" s="61">
        <f t="shared" si="44"/>
        <v>362054.24051158805</v>
      </c>
      <c r="AG78" s="61"/>
      <c r="AH78" s="61">
        <f t="shared" si="44"/>
        <v>326355.481860455</v>
      </c>
      <c r="AI78" s="61"/>
      <c r="AJ78" s="61">
        <f>AJ71+AJ73</f>
        <v>340981.574143294</v>
      </c>
      <c r="AK78" s="61"/>
      <c r="AL78" s="61">
        <f>AL71+AL73</f>
        <v>178.6737157373066</v>
      </c>
      <c r="AM78" s="61"/>
      <c r="AN78" s="61">
        <f>AN71+AN73</f>
        <v>172.3278764906415</v>
      </c>
      <c r="AO78" s="61"/>
      <c r="AP78" s="61">
        <f>AP71+AP73</f>
        <v>231.51075372251958</v>
      </c>
      <c r="AQ78" s="61"/>
      <c r="AR78" s="61">
        <f>AR71+AR73</f>
        <v>195.06955042522546</v>
      </c>
      <c r="AS78" s="61"/>
      <c r="AT78" s="61">
        <f>SUM(AL78,V78)</f>
        <v>1284.9104626556996</v>
      </c>
      <c r="AU78" s="61"/>
      <c r="AV78" s="61">
        <f>SUM(AN78,X78)</f>
        <v>1993.535271210488</v>
      </c>
      <c r="AW78" s="61"/>
      <c r="AX78" s="61">
        <f>SUM(AP78,Z78)</f>
        <v>1599.7691805779293</v>
      </c>
      <c r="AY78" s="61"/>
      <c r="AZ78" s="61">
        <f>SUM(AR78,AB78)</f>
        <v>1616.928902547355</v>
      </c>
      <c r="BA78" s="31"/>
      <c r="BB78" s="60">
        <f>N78+F78+AL78+AD78+V78</f>
        <v>339754.2008312871</v>
      </c>
      <c r="BC78" s="60"/>
      <c r="BD78" s="60">
        <f>P78+H78+AN78+AF78+X78</f>
        <v>366344.07787701255</v>
      </c>
      <c r="BE78" s="60"/>
      <c r="BF78" s="60">
        <f>R78+J78+AP78+AH78+Z78</f>
        <v>334247.5938377898</v>
      </c>
      <c r="BG78" s="60"/>
      <c r="BH78" s="60">
        <f>T78+L78+AR78+AJ78+AB78</f>
        <v>346157.83049442957</v>
      </c>
    </row>
    <row r="79" spans="2:60" ht="12.75">
      <c r="B79" s="7" t="s">
        <v>35</v>
      </c>
      <c r="D79" s="7" t="s">
        <v>29</v>
      </c>
      <c r="F79" s="61">
        <f aca="true" t="shared" si="45" ref="F79:T79">F68+F70+F72</f>
        <v>517.537659377026</v>
      </c>
      <c r="G79" s="61"/>
      <c r="H79" s="61">
        <f t="shared" si="45"/>
        <v>403.81061058432044</v>
      </c>
      <c r="I79" s="61"/>
      <c r="J79" s="61">
        <f t="shared" si="45"/>
        <v>351.7469838816346</v>
      </c>
      <c r="K79" s="61"/>
      <c r="L79" s="61">
        <f t="shared" si="45"/>
        <v>424.0551933510501</v>
      </c>
      <c r="M79" s="61"/>
      <c r="N79" s="61">
        <f t="shared" si="45"/>
        <v>14386.314698158996</v>
      </c>
      <c r="O79" s="61"/>
      <c r="P79" s="61">
        <f t="shared" si="45"/>
        <v>17796.167245283552</v>
      </c>
      <c r="Q79" s="61"/>
      <c r="R79" s="61">
        <f t="shared" si="45"/>
        <v>13636.73020313938</v>
      </c>
      <c r="S79" s="61"/>
      <c r="T79" s="61">
        <f t="shared" si="45"/>
        <v>15194.617514455562</v>
      </c>
      <c r="U79" s="61"/>
      <c r="V79" s="61">
        <f aca="true" t="shared" si="46" ref="V79:AH79">V68+V70+V72</f>
        <v>16402.555162815326</v>
      </c>
      <c r="W79" s="61"/>
      <c r="X79" s="61">
        <f t="shared" si="46"/>
        <v>15010.752241622318</v>
      </c>
      <c r="Y79" s="61"/>
      <c r="Z79" s="61">
        <f t="shared" si="46"/>
        <v>13664.929706560546</v>
      </c>
      <c r="AA79" s="61"/>
      <c r="AB79" s="61">
        <f t="shared" si="46"/>
        <v>15010.929622065814</v>
      </c>
      <c r="AC79" s="61"/>
      <c r="AD79" s="61">
        <f t="shared" si="46"/>
        <v>486254.35621646815</v>
      </c>
      <c r="AE79" s="61"/>
      <c r="AF79" s="61">
        <f t="shared" si="46"/>
        <v>523097.9550897173</v>
      </c>
      <c r="AG79" s="61"/>
      <c r="AH79" s="61">
        <f t="shared" si="46"/>
        <v>471520.19253330457</v>
      </c>
      <c r="AI79" s="61"/>
      <c r="AJ79" s="61">
        <f>AJ68+AJ70+AJ72</f>
        <v>492652.05098991544</v>
      </c>
      <c r="AK79" s="61"/>
      <c r="AL79" s="61">
        <f>AL68+AL70+AL72</f>
        <v>606.8745172456793</v>
      </c>
      <c r="AM79" s="61"/>
      <c r="AN79" s="61">
        <f>AN68+AN70+AN72</f>
        <v>306.54478029585266</v>
      </c>
      <c r="AO79" s="61"/>
      <c r="AP79" s="61">
        <f>AP68+AP70+AP72</f>
        <v>231.51075372251964</v>
      </c>
      <c r="AQ79" s="61"/>
      <c r="AR79" s="61">
        <f>AR68+AR70+AR72</f>
        <v>381.81613336564124</v>
      </c>
      <c r="AS79" s="61"/>
      <c r="AT79" s="61">
        <f>SUM(AL79,V79)</f>
        <v>17009.429680061006</v>
      </c>
      <c r="AU79" s="61"/>
      <c r="AV79" s="61">
        <f>SUM(AN79,X79)</f>
        <v>15317.297021918172</v>
      </c>
      <c r="AW79" s="61"/>
      <c r="AX79" s="61">
        <f>SUM(AP79,Z79)</f>
        <v>13896.440460283065</v>
      </c>
      <c r="AY79" s="61"/>
      <c r="AZ79" s="61">
        <f>SUM(AR79,AB79)</f>
        <v>15392.745755431455</v>
      </c>
      <c r="BA79" s="31"/>
      <c r="BB79" s="60">
        <f>N79+F79+AL79+AD79+V79</f>
        <v>518167.6382540652</v>
      </c>
      <c r="BC79" s="60"/>
      <c r="BD79" s="60">
        <f>P79+H79+AN79+AF79+X79</f>
        <v>556615.2299675033</v>
      </c>
      <c r="BE79" s="60"/>
      <c r="BF79" s="60">
        <f>R79+J79+AP79+AH79+Z79</f>
        <v>499405.11018060864</v>
      </c>
      <c r="BG79" s="60"/>
      <c r="BH79" s="60">
        <f>T79+L79+AR79+AJ79+AB79</f>
        <v>523663.4694531535</v>
      </c>
    </row>
    <row r="81" ht="12.75">
      <c r="BH81" s="6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W38"/>
  <sheetViews>
    <sheetView workbookViewId="0" topLeftCell="B1">
      <selection activeCell="B2" sqref="B2"/>
    </sheetView>
  </sheetViews>
  <sheetFormatPr defaultColWidth="9.140625" defaultRowHeight="12.75"/>
  <cols>
    <col min="1" max="1" width="0.2890625" style="45" hidden="1" customWidth="1"/>
    <col min="2" max="2" width="18.421875" style="45" customWidth="1"/>
    <col min="3" max="3" width="11.00390625" style="45" customWidth="1"/>
    <col min="4" max="4" width="8.57421875" style="45" customWidth="1"/>
    <col min="5" max="5" width="3.8515625" style="45" customWidth="1"/>
    <col min="6" max="6" width="8.00390625" style="45" customWidth="1"/>
    <col min="7" max="7" width="4.140625" style="45" customWidth="1"/>
    <col min="8" max="8" width="7.8515625" style="45" customWidth="1"/>
    <col min="9" max="9" width="4.00390625" style="45" customWidth="1"/>
    <col min="10" max="10" width="6.57421875" style="45" bestFit="1" customWidth="1"/>
    <col min="11" max="11" width="3.57421875" style="45" customWidth="1"/>
    <col min="12" max="12" width="7.421875" style="45" customWidth="1"/>
    <col min="13" max="13" width="3.8515625" style="45" customWidth="1"/>
    <col min="14" max="14" width="8.140625" style="45" bestFit="1" customWidth="1"/>
    <col min="15" max="15" width="4.00390625" style="45" customWidth="1"/>
    <col min="16" max="16" width="8.140625" style="45" bestFit="1" customWidth="1"/>
    <col min="17" max="17" width="4.00390625" style="45" bestFit="1" customWidth="1"/>
    <col min="18" max="18" width="8.140625" style="45" bestFit="1" customWidth="1"/>
    <col min="19" max="19" width="3.7109375" style="45" customWidth="1"/>
    <col min="20" max="20" width="8.140625" style="45" bestFit="1" customWidth="1"/>
    <col min="21" max="21" width="4.140625" style="45" customWidth="1"/>
    <col min="22" max="22" width="12.140625" style="45" bestFit="1" customWidth="1"/>
    <col min="23" max="23" width="3.7109375" style="45" customWidth="1"/>
    <col min="24" max="24" width="12.140625" style="45" bestFit="1" customWidth="1"/>
    <col min="25" max="25" width="3.8515625" style="45" customWidth="1"/>
    <col min="26" max="26" width="12.140625" style="45" bestFit="1" customWidth="1"/>
    <col min="27" max="27" width="4.00390625" style="45" customWidth="1"/>
    <col min="28" max="28" width="12.140625" style="45" bestFit="1" customWidth="1"/>
    <col min="29" max="29" width="3.8515625" style="45" customWidth="1"/>
    <col min="30" max="30" width="9.140625" style="45" bestFit="1" customWidth="1"/>
    <col min="31" max="31" width="4.00390625" style="45" customWidth="1"/>
    <col min="32" max="32" width="9.140625" style="45" bestFit="1" customWidth="1"/>
    <col min="33" max="33" width="4.00390625" style="45" customWidth="1"/>
    <col min="34" max="34" width="9.140625" style="45" bestFit="1" customWidth="1"/>
    <col min="35" max="35" width="3.8515625" style="45" customWidth="1"/>
    <col min="36" max="36" width="9.140625" style="45" bestFit="1" customWidth="1"/>
    <col min="37" max="37" width="4.57421875" style="45" customWidth="1"/>
    <col min="38" max="38" width="9.140625" style="45" bestFit="1" customWidth="1"/>
    <col min="39" max="39" width="4.00390625" style="45" customWidth="1"/>
    <col min="40" max="40" width="9.140625" style="45" bestFit="1" customWidth="1"/>
    <col min="41" max="41" width="4.00390625" style="45" customWidth="1"/>
    <col min="42" max="42" width="9.140625" style="45" bestFit="1" customWidth="1"/>
    <col min="43" max="43" width="4.140625" style="45" customWidth="1"/>
    <col min="44" max="44" width="9.140625" style="45" bestFit="1" customWidth="1"/>
    <col min="45" max="45" width="2.421875" style="45" customWidth="1"/>
    <col min="46" max="46" width="9.140625" style="45" bestFit="1" customWidth="1"/>
    <col min="47" max="47" width="2.421875" style="45" customWidth="1"/>
    <col min="48" max="48" width="9.140625" style="45" bestFit="1" customWidth="1"/>
    <col min="49" max="49" width="2.140625" style="45" customWidth="1"/>
    <col min="50" max="50" width="9.140625" style="45" bestFit="1" customWidth="1"/>
    <col min="51" max="51" width="2.28125" style="45" customWidth="1"/>
    <col min="52" max="52" width="9.140625" style="45" bestFit="1" customWidth="1"/>
    <col min="53" max="53" width="3.140625" style="45" customWidth="1"/>
    <col min="54" max="54" width="9.00390625" style="45" customWidth="1"/>
    <col min="55" max="55" width="1.28515625" style="45" customWidth="1"/>
    <col min="56" max="56" width="9.00390625" style="45" customWidth="1"/>
    <col min="57" max="57" width="2.00390625" style="45" customWidth="1"/>
    <col min="58" max="58" width="9.00390625" style="45" customWidth="1"/>
    <col min="59" max="59" width="2.421875" style="45" customWidth="1"/>
    <col min="60" max="60" width="9.00390625" style="45" customWidth="1"/>
    <col min="61" max="61" width="3.28125" style="45" customWidth="1"/>
    <col min="62" max="62" width="9.140625" style="45" customWidth="1"/>
    <col min="63" max="63" width="2.421875" style="45" customWidth="1"/>
    <col min="64" max="64" width="9.140625" style="45" customWidth="1"/>
    <col min="65" max="65" width="2.140625" style="45" customWidth="1"/>
    <col min="66" max="66" width="9.140625" style="45" customWidth="1"/>
    <col min="67" max="67" width="2.140625" style="45" customWidth="1"/>
    <col min="68" max="68" width="9.140625" style="45" customWidth="1"/>
    <col min="69" max="69" width="2.140625" style="45" customWidth="1"/>
    <col min="70" max="70" width="9.140625" style="45" customWidth="1"/>
    <col min="71" max="71" width="9.140625" style="45" hidden="1" customWidth="1"/>
    <col min="72" max="75" width="0" style="45" hidden="1" customWidth="1"/>
    <col min="76" max="16384" width="9.140625" style="45" customWidth="1"/>
  </cols>
  <sheetData>
    <row r="1" spans="2:75" ht="12.75">
      <c r="B1" s="17" t="s">
        <v>155</v>
      </c>
      <c r="C1" s="17"/>
      <c r="BT1" s="45" t="s">
        <v>36</v>
      </c>
      <c r="BU1" s="45" t="s">
        <v>27</v>
      </c>
      <c r="BV1" s="45" t="s">
        <v>37</v>
      </c>
      <c r="BW1" s="45" t="s">
        <v>23</v>
      </c>
    </row>
    <row r="4" spans="1:70" ht="12.75">
      <c r="A4" s="45" t="s">
        <v>62</v>
      </c>
      <c r="B4" s="17" t="s">
        <v>107</v>
      </c>
      <c r="C4" s="17"/>
      <c r="D4" s="17"/>
      <c r="F4" s="48" t="s">
        <v>76</v>
      </c>
      <c r="G4" s="48"/>
      <c r="H4" s="48" t="s">
        <v>77</v>
      </c>
      <c r="I4" s="48"/>
      <c r="J4" s="48" t="s">
        <v>78</v>
      </c>
      <c r="K4" s="48"/>
      <c r="L4" s="48" t="s">
        <v>120</v>
      </c>
      <c r="M4" s="48"/>
      <c r="N4" s="48" t="s">
        <v>76</v>
      </c>
      <c r="O4" s="48"/>
      <c r="P4" s="48" t="s">
        <v>77</v>
      </c>
      <c r="Q4" s="48"/>
      <c r="R4" s="48" t="s">
        <v>78</v>
      </c>
      <c r="S4" s="48"/>
      <c r="T4" s="48" t="s">
        <v>120</v>
      </c>
      <c r="U4" s="48"/>
      <c r="V4" s="48" t="s">
        <v>76</v>
      </c>
      <c r="W4" s="48"/>
      <c r="X4" s="48" t="s">
        <v>77</v>
      </c>
      <c r="Y4" s="48"/>
      <c r="Z4" s="48" t="s">
        <v>78</v>
      </c>
      <c r="AA4" s="48"/>
      <c r="AB4" s="48" t="s">
        <v>120</v>
      </c>
      <c r="AC4" s="48"/>
      <c r="AD4" s="48" t="s">
        <v>76</v>
      </c>
      <c r="AE4" s="48"/>
      <c r="AF4" s="48" t="s">
        <v>77</v>
      </c>
      <c r="AG4" s="48"/>
      <c r="AH4" s="48" t="s">
        <v>78</v>
      </c>
      <c r="AI4" s="48"/>
      <c r="AJ4" s="48" t="s">
        <v>120</v>
      </c>
      <c r="AK4" s="48"/>
      <c r="AL4" s="48" t="s">
        <v>76</v>
      </c>
      <c r="AM4" s="48"/>
      <c r="AN4" s="48" t="s">
        <v>77</v>
      </c>
      <c r="AO4" s="48"/>
      <c r="AP4" s="48" t="s">
        <v>78</v>
      </c>
      <c r="AQ4" s="48"/>
      <c r="AR4" s="48" t="s">
        <v>120</v>
      </c>
      <c r="AS4" s="48"/>
      <c r="AT4" s="48" t="s">
        <v>76</v>
      </c>
      <c r="AU4" s="48"/>
      <c r="AV4" s="48" t="s">
        <v>77</v>
      </c>
      <c r="AW4" s="48"/>
      <c r="AX4" s="48" t="s">
        <v>78</v>
      </c>
      <c r="AY4" s="48"/>
      <c r="AZ4" s="48" t="s">
        <v>120</v>
      </c>
      <c r="BA4" s="48"/>
      <c r="BB4" s="48" t="s">
        <v>76</v>
      </c>
      <c r="BC4" s="48"/>
      <c r="BD4" s="48" t="s">
        <v>77</v>
      </c>
      <c r="BE4" s="48"/>
      <c r="BF4" s="48" t="s">
        <v>78</v>
      </c>
      <c r="BG4" s="48"/>
      <c r="BH4" s="48" t="s">
        <v>120</v>
      </c>
      <c r="BI4" s="48"/>
      <c r="BJ4" s="48" t="s">
        <v>76</v>
      </c>
      <c r="BK4" s="48"/>
      <c r="BL4" s="48" t="s">
        <v>77</v>
      </c>
      <c r="BM4" s="48"/>
      <c r="BN4" s="48" t="s">
        <v>78</v>
      </c>
      <c r="BO4" s="48"/>
      <c r="BP4" s="48" t="s">
        <v>120</v>
      </c>
      <c r="BQ4" s="48"/>
      <c r="BR4" s="48" t="s">
        <v>30</v>
      </c>
    </row>
    <row r="5" spans="2:70" ht="12.75">
      <c r="B5" s="17"/>
      <c r="C5" s="17"/>
      <c r="D5" s="1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</row>
    <row r="6" spans="2:70" ht="12.75">
      <c r="B6" s="7" t="s">
        <v>159</v>
      </c>
      <c r="C6" s="7"/>
      <c r="D6" s="17"/>
      <c r="F6" s="48" t="s">
        <v>183</v>
      </c>
      <c r="G6" s="48"/>
      <c r="H6" s="48" t="s">
        <v>183</v>
      </c>
      <c r="I6" s="48"/>
      <c r="J6" s="48" t="s">
        <v>183</v>
      </c>
      <c r="K6" s="48"/>
      <c r="L6" s="48" t="s">
        <v>183</v>
      </c>
      <c r="M6" s="48"/>
      <c r="N6" s="48" t="s">
        <v>184</v>
      </c>
      <c r="O6" s="48"/>
      <c r="P6" s="48" t="s">
        <v>184</v>
      </c>
      <c r="Q6" s="48"/>
      <c r="R6" s="48" t="s">
        <v>184</v>
      </c>
      <c r="S6" s="48"/>
      <c r="T6" s="48" t="s">
        <v>184</v>
      </c>
      <c r="U6" s="48"/>
      <c r="V6" s="48" t="s">
        <v>185</v>
      </c>
      <c r="W6" s="48"/>
      <c r="X6" s="48" t="s">
        <v>185</v>
      </c>
      <c r="Y6" s="48"/>
      <c r="Z6" s="48" t="s">
        <v>185</v>
      </c>
      <c r="AA6" s="48"/>
      <c r="AB6" s="48" t="s">
        <v>185</v>
      </c>
      <c r="AC6" s="48"/>
      <c r="AD6" s="48" t="s">
        <v>186</v>
      </c>
      <c r="AE6" s="48"/>
      <c r="AF6" s="48" t="s">
        <v>186</v>
      </c>
      <c r="AG6" s="48"/>
      <c r="AH6" s="48" t="s">
        <v>186</v>
      </c>
      <c r="AI6" s="48"/>
      <c r="AJ6" s="48" t="s">
        <v>186</v>
      </c>
      <c r="AK6" s="48"/>
      <c r="AL6" s="48" t="s">
        <v>187</v>
      </c>
      <c r="AM6" s="48"/>
      <c r="AN6" s="48" t="s">
        <v>187</v>
      </c>
      <c r="AO6" s="48"/>
      <c r="AP6" s="48" t="s">
        <v>187</v>
      </c>
      <c r="AQ6" s="48"/>
      <c r="AR6" s="48" t="s">
        <v>187</v>
      </c>
      <c r="AS6" s="48"/>
      <c r="AT6" s="48" t="s">
        <v>188</v>
      </c>
      <c r="AU6" s="48"/>
      <c r="AV6" s="48" t="s">
        <v>188</v>
      </c>
      <c r="AW6" s="48"/>
      <c r="AX6" s="48" t="s">
        <v>188</v>
      </c>
      <c r="AY6" s="48"/>
      <c r="AZ6" s="48" t="s">
        <v>188</v>
      </c>
      <c r="BA6" s="48"/>
      <c r="BB6" s="48"/>
      <c r="BC6" s="48"/>
      <c r="BD6" s="48"/>
      <c r="BE6" s="48"/>
      <c r="BF6" s="48"/>
      <c r="BG6" s="48"/>
      <c r="BH6" s="48"/>
      <c r="BI6" s="48"/>
      <c r="BJ6" s="48" t="s">
        <v>189</v>
      </c>
      <c r="BK6" s="48"/>
      <c r="BL6" s="48" t="s">
        <v>189</v>
      </c>
      <c r="BM6" s="48"/>
      <c r="BN6" s="48" t="s">
        <v>189</v>
      </c>
      <c r="BO6" s="48"/>
      <c r="BP6" s="48" t="s">
        <v>189</v>
      </c>
      <c r="BQ6" s="48"/>
      <c r="BR6" s="48" t="s">
        <v>189</v>
      </c>
    </row>
    <row r="7" spans="2:70" ht="12.75">
      <c r="B7" s="7" t="s">
        <v>160</v>
      </c>
      <c r="C7" s="7"/>
      <c r="F7" s="48" t="s">
        <v>75</v>
      </c>
      <c r="G7" s="48"/>
      <c r="H7" s="48" t="s">
        <v>75</v>
      </c>
      <c r="I7" s="48"/>
      <c r="J7" s="48" t="s">
        <v>75</v>
      </c>
      <c r="K7" s="48"/>
      <c r="L7" s="48" t="s">
        <v>75</v>
      </c>
      <c r="M7" s="48"/>
      <c r="N7" s="48" t="s">
        <v>127</v>
      </c>
      <c r="O7" s="48"/>
      <c r="P7" s="48" t="s">
        <v>127</v>
      </c>
      <c r="Q7" s="48"/>
      <c r="R7" s="48" t="s">
        <v>127</v>
      </c>
      <c r="S7" s="48"/>
      <c r="T7" s="48" t="s">
        <v>127</v>
      </c>
      <c r="U7" s="48"/>
      <c r="V7" s="48" t="s">
        <v>161</v>
      </c>
      <c r="W7" s="48"/>
      <c r="X7" s="48" t="s">
        <v>161</v>
      </c>
      <c r="Y7" s="48"/>
      <c r="Z7" s="48" t="s">
        <v>161</v>
      </c>
      <c r="AA7" s="48"/>
      <c r="AB7" s="48" t="s">
        <v>161</v>
      </c>
      <c r="AC7" s="48"/>
      <c r="AD7" s="48" t="s">
        <v>27</v>
      </c>
      <c r="AE7" s="48"/>
      <c r="AF7" s="48" t="s">
        <v>27</v>
      </c>
      <c r="AG7" s="48"/>
      <c r="AH7" s="48" t="s">
        <v>27</v>
      </c>
      <c r="AI7" s="48"/>
      <c r="AJ7" s="48" t="s">
        <v>27</v>
      </c>
      <c r="AK7" s="48"/>
      <c r="AL7" s="48" t="s">
        <v>27</v>
      </c>
      <c r="AM7" s="48"/>
      <c r="AN7" s="48" t="s">
        <v>27</v>
      </c>
      <c r="AO7" s="48"/>
      <c r="AP7" s="48" t="s">
        <v>27</v>
      </c>
      <c r="AQ7" s="48"/>
      <c r="AR7" s="48" t="s">
        <v>27</v>
      </c>
      <c r="AS7" s="48"/>
      <c r="AT7" s="48" t="s">
        <v>27</v>
      </c>
      <c r="AU7" s="48"/>
      <c r="AV7" s="48" t="s">
        <v>27</v>
      </c>
      <c r="AW7" s="48"/>
      <c r="AX7" s="48" t="s">
        <v>27</v>
      </c>
      <c r="AY7" s="48"/>
      <c r="AZ7" s="48" t="s">
        <v>27</v>
      </c>
      <c r="BA7" s="48"/>
      <c r="BB7" s="48"/>
      <c r="BC7" s="48"/>
      <c r="BD7" s="48"/>
      <c r="BE7" s="48"/>
      <c r="BF7" s="48"/>
      <c r="BG7" s="48"/>
      <c r="BH7" s="48"/>
      <c r="BI7" s="48"/>
      <c r="BJ7" s="48" t="s">
        <v>23</v>
      </c>
      <c r="BK7" s="48"/>
      <c r="BL7" s="48" t="s">
        <v>23</v>
      </c>
      <c r="BM7" s="48"/>
      <c r="BN7" s="48" t="s">
        <v>23</v>
      </c>
      <c r="BO7" s="48"/>
      <c r="BP7" s="48" t="s">
        <v>23</v>
      </c>
      <c r="BQ7" s="48"/>
      <c r="BR7" s="48" t="s">
        <v>23</v>
      </c>
    </row>
    <row r="8" spans="2:70" ht="12.75">
      <c r="B8" s="7" t="s">
        <v>181</v>
      </c>
      <c r="C8" s="7"/>
      <c r="F8" s="48" t="s">
        <v>75</v>
      </c>
      <c r="G8" s="48"/>
      <c r="H8" s="48" t="s">
        <v>75</v>
      </c>
      <c r="I8" s="48"/>
      <c r="J8" s="48" t="s">
        <v>75</v>
      </c>
      <c r="K8" s="48"/>
      <c r="L8" s="48" t="s">
        <v>75</v>
      </c>
      <c r="M8" s="48"/>
      <c r="N8" s="48" t="s">
        <v>182</v>
      </c>
      <c r="O8" s="48"/>
      <c r="P8" s="48" t="s">
        <v>182</v>
      </c>
      <c r="Q8" s="48"/>
      <c r="R8" s="48" t="s">
        <v>182</v>
      </c>
      <c r="S8" s="48"/>
      <c r="T8" s="48" t="s">
        <v>182</v>
      </c>
      <c r="U8" s="48"/>
      <c r="V8" s="48" t="s">
        <v>36</v>
      </c>
      <c r="W8" s="48"/>
      <c r="X8" s="48" t="s">
        <v>36</v>
      </c>
      <c r="Y8" s="48"/>
      <c r="Z8" s="48" t="s">
        <v>36</v>
      </c>
      <c r="AA8" s="48"/>
      <c r="AB8" s="48" t="s">
        <v>36</v>
      </c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 t="s">
        <v>27</v>
      </c>
      <c r="BC8" s="48"/>
      <c r="BD8" s="48" t="s">
        <v>27</v>
      </c>
      <c r="BE8" s="48"/>
      <c r="BF8" s="48" t="s">
        <v>27</v>
      </c>
      <c r="BG8" s="48"/>
      <c r="BH8" s="48" t="s">
        <v>27</v>
      </c>
      <c r="BI8" s="48"/>
      <c r="BJ8" s="48" t="s">
        <v>23</v>
      </c>
      <c r="BK8" s="48"/>
      <c r="BL8" s="48" t="s">
        <v>23</v>
      </c>
      <c r="BM8" s="48"/>
      <c r="BN8" s="48" t="s">
        <v>23</v>
      </c>
      <c r="BO8" s="48"/>
      <c r="BP8" s="48" t="s">
        <v>23</v>
      </c>
      <c r="BQ8" s="48"/>
      <c r="BR8" s="48" t="s">
        <v>23</v>
      </c>
    </row>
    <row r="9" spans="2:70" ht="12.75">
      <c r="B9" s="9" t="s">
        <v>61</v>
      </c>
      <c r="F9" s="48" t="s">
        <v>75</v>
      </c>
      <c r="G9" s="48"/>
      <c r="H9" s="48" t="s">
        <v>75</v>
      </c>
      <c r="I9" s="48"/>
      <c r="J9" s="48" t="s">
        <v>75</v>
      </c>
      <c r="K9" s="48"/>
      <c r="L9" s="48" t="s">
        <v>75</v>
      </c>
      <c r="M9" s="48"/>
      <c r="N9" s="48" t="s">
        <v>127</v>
      </c>
      <c r="O9" s="48"/>
      <c r="P9" s="48" t="s">
        <v>127</v>
      </c>
      <c r="Q9" s="48"/>
      <c r="R9" s="48" t="s">
        <v>127</v>
      </c>
      <c r="S9" s="48"/>
      <c r="T9" s="48" t="s">
        <v>127</v>
      </c>
      <c r="U9" s="48"/>
      <c r="V9" s="48" t="s">
        <v>128</v>
      </c>
      <c r="W9" s="48"/>
      <c r="X9" s="48" t="s">
        <v>128</v>
      </c>
      <c r="Y9" s="48"/>
      <c r="Z9" s="48" t="s">
        <v>128</v>
      </c>
      <c r="AA9" s="48"/>
      <c r="AB9" s="48" t="s">
        <v>128</v>
      </c>
      <c r="AC9" s="48"/>
      <c r="AD9" s="48" t="s">
        <v>129</v>
      </c>
      <c r="AE9" s="48"/>
      <c r="AF9" s="48" t="s">
        <v>129</v>
      </c>
      <c r="AG9" s="48"/>
      <c r="AH9" s="48" t="s">
        <v>129</v>
      </c>
      <c r="AI9" s="48"/>
      <c r="AJ9" s="48" t="s">
        <v>129</v>
      </c>
      <c r="AK9" s="48"/>
      <c r="AL9" s="48" t="s">
        <v>130</v>
      </c>
      <c r="AM9" s="48"/>
      <c r="AN9" s="48" t="s">
        <v>130</v>
      </c>
      <c r="AO9" s="48"/>
      <c r="AP9" s="48" t="s">
        <v>130</v>
      </c>
      <c r="AQ9" s="48"/>
      <c r="AR9" s="48" t="s">
        <v>130</v>
      </c>
      <c r="AS9" s="48"/>
      <c r="AT9" s="48" t="s">
        <v>131</v>
      </c>
      <c r="AU9" s="48"/>
      <c r="AV9" s="48" t="s">
        <v>131</v>
      </c>
      <c r="AW9" s="48"/>
      <c r="AX9" s="48" t="s">
        <v>131</v>
      </c>
      <c r="AY9" s="48"/>
      <c r="AZ9" s="48" t="s">
        <v>131</v>
      </c>
      <c r="BA9" s="48"/>
      <c r="BB9" s="48"/>
      <c r="BC9" s="48"/>
      <c r="BD9" s="48"/>
      <c r="BE9" s="48"/>
      <c r="BF9" s="48"/>
      <c r="BG9" s="48"/>
      <c r="BH9" s="48"/>
      <c r="BI9" s="48"/>
      <c r="BJ9" s="48" t="s">
        <v>23</v>
      </c>
      <c r="BK9" s="48"/>
      <c r="BL9" s="48" t="s">
        <v>23</v>
      </c>
      <c r="BM9" s="48"/>
      <c r="BN9" s="48" t="s">
        <v>23</v>
      </c>
      <c r="BO9" s="48"/>
      <c r="BP9" s="48" t="s">
        <v>23</v>
      </c>
      <c r="BQ9" s="48"/>
      <c r="BR9" s="48" t="s">
        <v>23</v>
      </c>
    </row>
    <row r="10" spans="2:60" ht="12.75">
      <c r="B10" s="45" t="s">
        <v>65</v>
      </c>
      <c r="D10" s="45" t="s">
        <v>133</v>
      </c>
      <c r="E10" s="43"/>
      <c r="F10" s="64">
        <v>3600</v>
      </c>
      <c r="G10" s="64"/>
      <c r="H10" s="64">
        <v>3600</v>
      </c>
      <c r="I10" s="64"/>
      <c r="J10" s="64">
        <v>1400</v>
      </c>
      <c r="K10" s="64"/>
      <c r="L10" s="64">
        <v>600</v>
      </c>
      <c r="M10" s="64"/>
      <c r="N10" s="64">
        <v>98600</v>
      </c>
      <c r="O10" s="64"/>
      <c r="P10" s="64">
        <v>86200</v>
      </c>
      <c r="Q10" s="64"/>
      <c r="R10" s="64">
        <v>81600</v>
      </c>
      <c r="S10" s="64"/>
      <c r="T10" s="64">
        <v>82800</v>
      </c>
      <c r="U10" s="64"/>
      <c r="V10" s="64">
        <v>17800</v>
      </c>
      <c r="W10" s="64"/>
      <c r="X10" s="64">
        <v>7800</v>
      </c>
      <c r="Y10" s="64"/>
      <c r="Z10" s="64">
        <v>9600</v>
      </c>
      <c r="AA10" s="64"/>
      <c r="AB10" s="64">
        <v>10200</v>
      </c>
      <c r="AC10" s="64"/>
      <c r="AD10" s="64">
        <v>313.82</v>
      </c>
      <c r="AE10" s="64"/>
      <c r="AF10" s="64">
        <v>403.27</v>
      </c>
      <c r="AG10" s="64"/>
      <c r="AH10" s="64">
        <v>415.39</v>
      </c>
      <c r="AI10" s="64"/>
      <c r="AJ10" s="64">
        <v>548.12</v>
      </c>
      <c r="AK10" s="64"/>
      <c r="AL10" s="64">
        <v>365.09</v>
      </c>
      <c r="AM10" s="64"/>
      <c r="AN10" s="64">
        <v>420.41</v>
      </c>
      <c r="AO10" s="64"/>
      <c r="AP10" s="64">
        <v>343.4</v>
      </c>
      <c r="AQ10" s="64"/>
      <c r="AR10" s="64">
        <v>525.68</v>
      </c>
      <c r="AS10" s="64"/>
      <c r="AT10" s="64">
        <v>421.82</v>
      </c>
      <c r="AU10" s="64"/>
      <c r="AV10" s="64">
        <v>435.1</v>
      </c>
      <c r="AW10" s="64"/>
      <c r="AX10" s="64">
        <v>384.36</v>
      </c>
      <c r="AY10" s="64"/>
      <c r="AZ10" s="64">
        <v>770.82</v>
      </c>
      <c r="BA10" s="43"/>
      <c r="BB10" s="43"/>
      <c r="BC10" s="43"/>
      <c r="BD10" s="43"/>
      <c r="BE10" s="43"/>
      <c r="BF10" s="43"/>
      <c r="BG10" s="43"/>
      <c r="BH10" s="43"/>
    </row>
    <row r="11" spans="2:60" ht="12.75">
      <c r="B11" s="45" t="s">
        <v>162</v>
      </c>
      <c r="D11" s="45" t="s">
        <v>190</v>
      </c>
      <c r="E11" s="43"/>
      <c r="F11" s="64">
        <f>F12*1000000/F10</f>
        <v>13069.444444444445</v>
      </c>
      <c r="G11" s="64"/>
      <c r="H11" s="64">
        <f>H12*1000000/H10</f>
        <v>13222.222222222223</v>
      </c>
      <c r="I11" s="64"/>
      <c r="J11" s="64">
        <f>J12*1000000/J10</f>
        <v>13000</v>
      </c>
      <c r="K11" s="64"/>
      <c r="L11" s="64">
        <v>13000</v>
      </c>
      <c r="M11" s="64"/>
      <c r="N11" s="64"/>
      <c r="O11" s="64"/>
      <c r="P11" s="64"/>
      <c r="Q11" s="64"/>
      <c r="R11" s="64"/>
      <c r="S11" s="64"/>
      <c r="T11" s="64"/>
      <c r="U11" s="64"/>
      <c r="V11" s="64">
        <v>9516.85393258427</v>
      </c>
      <c r="W11" s="64"/>
      <c r="X11" s="64">
        <v>10115.384615384615</v>
      </c>
      <c r="Y11" s="64"/>
      <c r="Z11" s="64">
        <v>13000</v>
      </c>
      <c r="AA11" s="64"/>
      <c r="AB11" s="64">
        <v>10392.156862745</v>
      </c>
      <c r="AC11" s="64"/>
      <c r="AD11" s="64">
        <v>0</v>
      </c>
      <c r="AE11" s="64"/>
      <c r="AF11" s="64">
        <v>0</v>
      </c>
      <c r="AG11" s="64"/>
      <c r="AH11" s="64">
        <v>0</v>
      </c>
      <c r="AI11" s="64"/>
      <c r="AJ11" s="64">
        <v>0</v>
      </c>
      <c r="AK11" s="64"/>
      <c r="AL11" s="64">
        <v>0</v>
      </c>
      <c r="AM11" s="64"/>
      <c r="AN11" s="64">
        <v>0</v>
      </c>
      <c r="AO11" s="64"/>
      <c r="AP11" s="64">
        <v>0</v>
      </c>
      <c r="AQ11" s="64"/>
      <c r="AR11" s="64">
        <v>0</v>
      </c>
      <c r="AS11" s="64"/>
      <c r="AT11" s="64">
        <v>0</v>
      </c>
      <c r="AU11" s="64"/>
      <c r="AV11" s="64">
        <v>0</v>
      </c>
      <c r="AW11" s="64"/>
      <c r="AX11" s="64">
        <v>0</v>
      </c>
      <c r="AY11" s="64"/>
      <c r="AZ11" s="64">
        <v>0</v>
      </c>
      <c r="BA11" s="43"/>
      <c r="BB11" s="43"/>
      <c r="BC11" s="43"/>
      <c r="BD11" s="43"/>
      <c r="BE11" s="43"/>
      <c r="BF11" s="43"/>
      <c r="BG11" s="43"/>
      <c r="BH11" s="43"/>
    </row>
    <row r="12" spans="2:70" ht="12.75">
      <c r="B12" s="45" t="s">
        <v>63</v>
      </c>
      <c r="D12" s="45" t="s">
        <v>33</v>
      </c>
      <c r="E12" s="43"/>
      <c r="F12" s="43">
        <v>47.05</v>
      </c>
      <c r="G12" s="43"/>
      <c r="H12" s="43">
        <v>47.6</v>
      </c>
      <c r="I12" s="43"/>
      <c r="J12" s="43">
        <v>18.2</v>
      </c>
      <c r="K12" s="43"/>
      <c r="L12" s="43">
        <f>L10*L11/1000000</f>
        <v>7.8</v>
      </c>
      <c r="M12" s="43"/>
      <c r="N12" s="43"/>
      <c r="O12" s="43"/>
      <c r="P12" s="43"/>
      <c r="Q12" s="43"/>
      <c r="R12" s="43"/>
      <c r="S12" s="43"/>
      <c r="T12" s="43"/>
      <c r="U12" s="43"/>
      <c r="V12" s="43">
        <f>V10*V11/1000000</f>
        <v>169.4</v>
      </c>
      <c r="W12" s="43"/>
      <c r="X12" s="43">
        <f>X10*X11/1000000</f>
        <v>78.9</v>
      </c>
      <c r="Y12" s="43"/>
      <c r="Z12" s="43">
        <f>Z10*Z11/1000000</f>
        <v>124.8</v>
      </c>
      <c r="AA12" s="43"/>
      <c r="AB12" s="43">
        <f>AB10*AB11/1000000</f>
        <v>105.999999999999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J12" s="47">
        <f>F12+N12+V12+AD12+AL12+AT12</f>
        <v>216.45</v>
      </c>
      <c r="BL12" s="47">
        <f>H12+P12+X12+AF12+AN12+AV12</f>
        <v>126.5</v>
      </c>
      <c r="BN12" s="47">
        <f>J12+R12+Z12+AH12+AP12+AX12</f>
        <v>143</v>
      </c>
      <c r="BP12" s="47">
        <f>L12+T12+AB12+AJ12+AR12+AZ12</f>
        <v>113.799999999999</v>
      </c>
      <c r="BR12" s="47">
        <f>AVERAGE(BJ12,BL12,BN12,BP12)</f>
        <v>149.93749999999974</v>
      </c>
    </row>
    <row r="13" spans="2:60" ht="12.75">
      <c r="B13" s="45" t="s">
        <v>22</v>
      </c>
      <c r="D13" s="45" t="s">
        <v>135</v>
      </c>
      <c r="E13" s="43"/>
      <c r="F13" s="43">
        <v>1900</v>
      </c>
      <c r="G13" s="43"/>
      <c r="H13" s="43">
        <v>1500</v>
      </c>
      <c r="I13" s="43"/>
      <c r="J13" s="43">
        <v>1400</v>
      </c>
      <c r="K13" s="43"/>
      <c r="L13" s="43"/>
      <c r="M13" s="43"/>
      <c r="N13" s="43">
        <v>12</v>
      </c>
      <c r="O13" s="43"/>
      <c r="P13" s="43">
        <v>11</v>
      </c>
      <c r="Q13" s="43"/>
      <c r="R13" s="43">
        <v>50</v>
      </c>
      <c r="S13" s="43"/>
      <c r="T13" s="43">
        <v>4.4</v>
      </c>
      <c r="U13" s="43"/>
      <c r="V13" s="43">
        <v>42000</v>
      </c>
      <c r="W13" s="43"/>
      <c r="X13" s="43">
        <v>42000</v>
      </c>
      <c r="Y13" s="43"/>
      <c r="Z13" s="43">
        <v>38000</v>
      </c>
      <c r="AA13" s="43"/>
      <c r="AB13" s="43">
        <v>50000</v>
      </c>
      <c r="AC13" s="43" t="s">
        <v>13</v>
      </c>
      <c r="AD13" s="43">
        <v>500</v>
      </c>
      <c r="AE13" s="43" t="s">
        <v>13</v>
      </c>
      <c r="AF13" s="43">
        <v>500</v>
      </c>
      <c r="AG13" s="43" t="s">
        <v>13</v>
      </c>
      <c r="AH13" s="43">
        <v>500</v>
      </c>
      <c r="AI13" s="43" t="s">
        <v>13</v>
      </c>
      <c r="AJ13" s="43">
        <v>500</v>
      </c>
      <c r="AK13" s="43"/>
      <c r="AL13" s="43">
        <v>4500</v>
      </c>
      <c r="AM13" s="43"/>
      <c r="AN13" s="43">
        <v>4700</v>
      </c>
      <c r="AO13" s="43" t="s">
        <v>13</v>
      </c>
      <c r="AP13" s="43">
        <v>500</v>
      </c>
      <c r="AQ13" s="43"/>
      <c r="AR13" s="43">
        <v>4100</v>
      </c>
      <c r="AS13" s="43"/>
      <c r="AT13" s="43">
        <v>7700</v>
      </c>
      <c r="AU13" s="43"/>
      <c r="AV13" s="43">
        <v>11000</v>
      </c>
      <c r="AW13" s="43"/>
      <c r="AX13" s="43">
        <v>11000</v>
      </c>
      <c r="AY13" s="43"/>
      <c r="AZ13" s="43">
        <v>600</v>
      </c>
      <c r="BA13" s="43"/>
      <c r="BB13" s="43"/>
      <c r="BC13" s="43"/>
      <c r="BD13" s="43"/>
      <c r="BE13" s="43"/>
      <c r="BF13" s="43"/>
      <c r="BG13" s="43"/>
      <c r="BH13" s="43"/>
    </row>
    <row r="14" spans="2:60" ht="12.75">
      <c r="B14" s="45" t="s">
        <v>52</v>
      </c>
      <c r="D14" s="45" t="s">
        <v>135</v>
      </c>
      <c r="E14" s="43"/>
      <c r="F14" s="43">
        <v>11</v>
      </c>
      <c r="G14" s="43" t="s">
        <v>13</v>
      </c>
      <c r="H14" s="43">
        <v>20</v>
      </c>
      <c r="I14" s="43" t="s">
        <v>13</v>
      </c>
      <c r="J14" s="43">
        <v>20</v>
      </c>
      <c r="K14" s="43"/>
      <c r="L14" s="43"/>
      <c r="M14" s="43" t="s">
        <v>13</v>
      </c>
      <c r="N14" s="43">
        <v>20</v>
      </c>
      <c r="O14" s="43" t="s">
        <v>13</v>
      </c>
      <c r="P14" s="43">
        <v>20</v>
      </c>
      <c r="Q14" s="43" t="s">
        <v>13</v>
      </c>
      <c r="R14" s="43">
        <v>20</v>
      </c>
      <c r="S14" s="43" t="s">
        <v>13</v>
      </c>
      <c r="T14" s="43">
        <v>20</v>
      </c>
      <c r="U14" s="43" t="s">
        <v>13</v>
      </c>
      <c r="V14" s="43">
        <v>20</v>
      </c>
      <c r="W14" s="43" t="s">
        <v>13</v>
      </c>
      <c r="X14" s="43">
        <v>20</v>
      </c>
      <c r="Y14" s="43" t="s">
        <v>13</v>
      </c>
      <c r="Z14" s="43">
        <v>20</v>
      </c>
      <c r="AA14" s="43" t="s">
        <v>13</v>
      </c>
      <c r="AB14" s="43">
        <v>20</v>
      </c>
      <c r="AC14" s="43" t="s">
        <v>13</v>
      </c>
      <c r="AD14" s="43">
        <v>20</v>
      </c>
      <c r="AE14" s="43" t="s">
        <v>13</v>
      </c>
      <c r="AF14" s="43">
        <v>20</v>
      </c>
      <c r="AG14" s="43" t="s">
        <v>13</v>
      </c>
      <c r="AH14" s="43">
        <v>20</v>
      </c>
      <c r="AI14" s="43" t="s">
        <v>13</v>
      </c>
      <c r="AJ14" s="43">
        <v>20</v>
      </c>
      <c r="AK14" s="43" t="s">
        <v>13</v>
      </c>
      <c r="AL14" s="43">
        <v>20</v>
      </c>
      <c r="AM14" s="43" t="s">
        <v>13</v>
      </c>
      <c r="AN14" s="43">
        <v>20</v>
      </c>
      <c r="AO14" s="43" t="s">
        <v>13</v>
      </c>
      <c r="AP14" s="43">
        <v>20</v>
      </c>
      <c r="AQ14" s="43" t="s">
        <v>13</v>
      </c>
      <c r="AR14" s="43">
        <v>20</v>
      </c>
      <c r="AS14" s="43"/>
      <c r="AT14" s="43">
        <v>20000</v>
      </c>
      <c r="AU14" s="43"/>
      <c r="AV14" s="43">
        <v>19000</v>
      </c>
      <c r="AW14" s="43"/>
      <c r="AX14" s="43">
        <v>6700</v>
      </c>
      <c r="AY14" s="43"/>
      <c r="AZ14" s="43">
        <v>11000</v>
      </c>
      <c r="BA14" s="43"/>
      <c r="BB14" s="43"/>
      <c r="BC14" s="43"/>
      <c r="BD14" s="43"/>
      <c r="BE14" s="43"/>
      <c r="BF14" s="43"/>
      <c r="BG14" s="43"/>
      <c r="BH14" s="43"/>
    </row>
    <row r="15" spans="2:60" ht="12.75">
      <c r="B15" s="45" t="s">
        <v>54</v>
      </c>
      <c r="D15" s="45" t="s">
        <v>135</v>
      </c>
      <c r="E15" s="43" t="s">
        <v>13</v>
      </c>
      <c r="F15" s="43">
        <v>0.5</v>
      </c>
      <c r="G15" s="43" t="s">
        <v>13</v>
      </c>
      <c r="H15" s="43">
        <v>0.5</v>
      </c>
      <c r="I15" s="43" t="s">
        <v>13</v>
      </c>
      <c r="J15" s="43">
        <v>0.5</v>
      </c>
      <c r="K15" s="43"/>
      <c r="L15" s="43"/>
      <c r="M15" s="43" t="s">
        <v>13</v>
      </c>
      <c r="N15" s="43">
        <v>0.5</v>
      </c>
      <c r="O15" s="43" t="s">
        <v>13</v>
      </c>
      <c r="P15" s="43">
        <v>0.5</v>
      </c>
      <c r="Q15" s="43" t="s">
        <v>13</v>
      </c>
      <c r="R15" s="43">
        <v>0.5</v>
      </c>
      <c r="S15" s="43" t="s">
        <v>13</v>
      </c>
      <c r="T15" s="43">
        <v>0.5</v>
      </c>
      <c r="U15" s="43" t="s">
        <v>13</v>
      </c>
      <c r="V15" s="43">
        <v>0.5</v>
      </c>
      <c r="W15" s="43" t="s">
        <v>13</v>
      </c>
      <c r="X15" s="43">
        <v>0.5</v>
      </c>
      <c r="Y15" s="43" t="s">
        <v>13</v>
      </c>
      <c r="Z15" s="43">
        <v>0.5</v>
      </c>
      <c r="AA15" s="43" t="s">
        <v>13</v>
      </c>
      <c r="AB15" s="43">
        <v>0.5</v>
      </c>
      <c r="AC15" s="43" t="s">
        <v>13</v>
      </c>
      <c r="AD15" s="43">
        <v>0.5</v>
      </c>
      <c r="AE15" s="43" t="s">
        <v>13</v>
      </c>
      <c r="AF15" s="43">
        <v>0.5</v>
      </c>
      <c r="AG15" s="43" t="s">
        <v>13</v>
      </c>
      <c r="AH15" s="43">
        <v>0.5</v>
      </c>
      <c r="AI15" s="43" t="s">
        <v>13</v>
      </c>
      <c r="AJ15" s="43">
        <v>0.5</v>
      </c>
      <c r="AK15" s="43" t="s">
        <v>13</v>
      </c>
      <c r="AL15" s="43">
        <v>0.5</v>
      </c>
      <c r="AM15" s="43" t="s">
        <v>13</v>
      </c>
      <c r="AN15" s="43">
        <v>0.5</v>
      </c>
      <c r="AO15" s="43" t="s">
        <v>13</v>
      </c>
      <c r="AP15" s="43">
        <v>0.5</v>
      </c>
      <c r="AQ15" s="43" t="s">
        <v>13</v>
      </c>
      <c r="AR15" s="43">
        <v>0.5</v>
      </c>
      <c r="AS15" s="43"/>
      <c r="AT15" s="43">
        <v>150</v>
      </c>
      <c r="AU15" s="43"/>
      <c r="AV15" s="43">
        <v>150</v>
      </c>
      <c r="AW15" s="43"/>
      <c r="AX15" s="43">
        <v>120</v>
      </c>
      <c r="AY15" s="43"/>
      <c r="AZ15" s="43">
        <v>170</v>
      </c>
      <c r="BA15" s="43"/>
      <c r="BB15" s="43"/>
      <c r="BC15" s="43"/>
      <c r="BD15" s="43"/>
      <c r="BE15" s="43"/>
      <c r="BF15" s="43"/>
      <c r="BG15" s="43"/>
      <c r="BH15" s="43"/>
    </row>
    <row r="16" spans="2:60" ht="12.75">
      <c r="B16" s="45" t="s">
        <v>58</v>
      </c>
      <c r="D16" s="45" t="s">
        <v>135</v>
      </c>
      <c r="E16" s="43" t="s">
        <v>13</v>
      </c>
      <c r="F16" s="43">
        <v>1</v>
      </c>
      <c r="G16" s="43" t="s">
        <v>13</v>
      </c>
      <c r="H16" s="43">
        <v>1</v>
      </c>
      <c r="I16" s="43" t="s">
        <v>13</v>
      </c>
      <c r="J16" s="43">
        <v>1</v>
      </c>
      <c r="K16" s="43"/>
      <c r="L16" s="43"/>
      <c r="M16" s="43" t="s">
        <v>13</v>
      </c>
      <c r="N16" s="43">
        <v>1</v>
      </c>
      <c r="O16" s="43" t="s">
        <v>13</v>
      </c>
      <c r="P16" s="43">
        <v>1</v>
      </c>
      <c r="Q16" s="43" t="s">
        <v>13</v>
      </c>
      <c r="R16" s="43">
        <v>1</v>
      </c>
      <c r="S16" s="43" t="s">
        <v>13</v>
      </c>
      <c r="T16" s="43">
        <v>1</v>
      </c>
      <c r="U16" s="43"/>
      <c r="V16" s="43">
        <v>13</v>
      </c>
      <c r="W16" s="43"/>
      <c r="X16" s="43">
        <v>5.9</v>
      </c>
      <c r="Y16" s="43"/>
      <c r="Z16" s="43">
        <v>4.8</v>
      </c>
      <c r="AA16" s="43"/>
      <c r="AB16" s="43">
        <v>3</v>
      </c>
      <c r="AC16" s="43"/>
      <c r="AD16" s="43">
        <v>470</v>
      </c>
      <c r="AE16" s="43"/>
      <c r="AF16" s="43">
        <v>110</v>
      </c>
      <c r="AG16" s="43"/>
      <c r="AH16" s="43">
        <v>100</v>
      </c>
      <c r="AI16" s="43"/>
      <c r="AJ16" s="43">
        <v>120</v>
      </c>
      <c r="AK16" s="43"/>
      <c r="AL16" s="43">
        <v>710</v>
      </c>
      <c r="AM16" s="43"/>
      <c r="AN16" s="43">
        <v>630</v>
      </c>
      <c r="AO16" s="43"/>
      <c r="AP16" s="43">
        <v>860</v>
      </c>
      <c r="AQ16" s="43"/>
      <c r="AR16" s="43">
        <v>800</v>
      </c>
      <c r="AS16" s="43"/>
      <c r="AT16" s="43">
        <v>7500</v>
      </c>
      <c r="AU16" s="43"/>
      <c r="AV16" s="43">
        <v>7100</v>
      </c>
      <c r="AW16" s="43"/>
      <c r="AX16" s="43">
        <v>5300</v>
      </c>
      <c r="AY16" s="43"/>
      <c r="AZ16" s="43">
        <v>8900</v>
      </c>
      <c r="BA16" s="43"/>
      <c r="BB16" s="43"/>
      <c r="BC16" s="43"/>
      <c r="BD16" s="43"/>
      <c r="BE16" s="43"/>
      <c r="BF16" s="43"/>
      <c r="BG16" s="43"/>
      <c r="BH16" s="43"/>
    </row>
    <row r="17" spans="2:60" ht="12.75">
      <c r="B17" s="45" t="s">
        <v>60</v>
      </c>
      <c r="D17" s="45" t="s">
        <v>135</v>
      </c>
      <c r="E17" s="43" t="s">
        <v>13</v>
      </c>
      <c r="F17" s="43">
        <v>5</v>
      </c>
      <c r="G17" s="43"/>
      <c r="H17" s="43">
        <v>8.3</v>
      </c>
      <c r="I17" s="43"/>
      <c r="J17" s="43">
        <v>7.4</v>
      </c>
      <c r="K17" s="43"/>
      <c r="L17" s="43"/>
      <c r="M17" s="43" t="s">
        <v>13</v>
      </c>
      <c r="N17" s="43">
        <v>5</v>
      </c>
      <c r="O17" s="43"/>
      <c r="P17" s="43">
        <v>12</v>
      </c>
      <c r="Q17" s="43"/>
      <c r="R17" s="43">
        <v>9.5</v>
      </c>
      <c r="S17" s="43"/>
      <c r="T17" s="43">
        <v>13</v>
      </c>
      <c r="U17" s="43"/>
      <c r="V17" s="43">
        <v>98</v>
      </c>
      <c r="W17" s="43"/>
      <c r="X17" s="43">
        <v>51</v>
      </c>
      <c r="Y17" s="43"/>
      <c r="Z17" s="43">
        <v>40</v>
      </c>
      <c r="AA17" s="43"/>
      <c r="AB17" s="43">
        <v>35</v>
      </c>
      <c r="AC17" s="43"/>
      <c r="AD17" s="43">
        <v>96000</v>
      </c>
      <c r="AE17" s="43"/>
      <c r="AF17" s="43">
        <v>94000</v>
      </c>
      <c r="AG17" s="43"/>
      <c r="AH17" s="43">
        <v>83000</v>
      </c>
      <c r="AI17" s="43"/>
      <c r="AJ17" s="43">
        <v>87000</v>
      </c>
      <c r="AK17" s="43"/>
      <c r="AL17" s="43">
        <v>1200</v>
      </c>
      <c r="AM17" s="43"/>
      <c r="AN17" s="43">
        <v>7600</v>
      </c>
      <c r="AO17" s="43"/>
      <c r="AP17" s="43">
        <v>4300</v>
      </c>
      <c r="AQ17" s="43"/>
      <c r="AR17" s="43">
        <v>9000</v>
      </c>
      <c r="AS17" s="43"/>
      <c r="AT17" s="43">
        <v>2900</v>
      </c>
      <c r="AU17" s="43"/>
      <c r="AV17" s="43">
        <v>2400</v>
      </c>
      <c r="AW17" s="43"/>
      <c r="AX17" s="43">
        <v>1800</v>
      </c>
      <c r="AY17" s="43"/>
      <c r="AZ17" s="43">
        <v>1300</v>
      </c>
      <c r="BA17" s="43"/>
      <c r="BB17" s="43"/>
      <c r="BC17" s="43"/>
      <c r="BD17" s="43"/>
      <c r="BE17" s="43"/>
      <c r="BF17" s="43"/>
      <c r="BG17" s="43"/>
      <c r="BH17" s="43"/>
    </row>
    <row r="18" spans="2:60" ht="12.75">
      <c r="B18" s="45" t="s">
        <v>57</v>
      </c>
      <c r="D18" s="45" t="s">
        <v>135</v>
      </c>
      <c r="E18" s="43" t="s">
        <v>13</v>
      </c>
      <c r="F18" s="43">
        <v>10</v>
      </c>
      <c r="G18" s="43" t="s">
        <v>13</v>
      </c>
      <c r="H18" s="43">
        <v>10</v>
      </c>
      <c r="I18" s="43" t="s">
        <v>13</v>
      </c>
      <c r="J18" s="43">
        <v>10</v>
      </c>
      <c r="K18" s="43"/>
      <c r="L18" s="43"/>
      <c r="M18" s="43" t="s">
        <v>13</v>
      </c>
      <c r="N18" s="43">
        <v>10</v>
      </c>
      <c r="O18" s="43" t="s">
        <v>13</v>
      </c>
      <c r="P18" s="43">
        <v>10</v>
      </c>
      <c r="Q18" s="43" t="s">
        <v>13</v>
      </c>
      <c r="R18" s="43">
        <v>10</v>
      </c>
      <c r="S18" s="43" t="s">
        <v>13</v>
      </c>
      <c r="T18" s="43">
        <v>10</v>
      </c>
      <c r="U18" s="43"/>
      <c r="V18" s="43">
        <v>220</v>
      </c>
      <c r="W18" s="43"/>
      <c r="X18" s="43">
        <v>130</v>
      </c>
      <c r="Y18" s="43"/>
      <c r="Z18" s="43">
        <v>110</v>
      </c>
      <c r="AA18" s="43"/>
      <c r="AB18" s="43">
        <v>94</v>
      </c>
      <c r="AC18" s="43"/>
      <c r="AD18" s="43">
        <v>420</v>
      </c>
      <c r="AE18" s="43"/>
      <c r="AF18" s="43">
        <v>490</v>
      </c>
      <c r="AG18" s="43"/>
      <c r="AH18" s="43">
        <v>78</v>
      </c>
      <c r="AI18" s="43"/>
      <c r="AJ18" s="43">
        <v>36</v>
      </c>
      <c r="AK18" s="43"/>
      <c r="AL18" s="43">
        <v>18000</v>
      </c>
      <c r="AM18" s="43"/>
      <c r="AN18" s="43">
        <v>62000</v>
      </c>
      <c r="AO18" s="43"/>
      <c r="AP18" s="43">
        <v>43000</v>
      </c>
      <c r="AQ18" s="43"/>
      <c r="AR18" s="43">
        <v>83000</v>
      </c>
      <c r="AS18" s="43"/>
      <c r="AT18" s="43">
        <v>500</v>
      </c>
      <c r="AU18" s="43"/>
      <c r="AV18" s="43">
        <v>140</v>
      </c>
      <c r="AW18" s="43"/>
      <c r="AX18" s="43">
        <v>94</v>
      </c>
      <c r="AY18" s="43"/>
      <c r="AZ18" s="43">
        <v>30</v>
      </c>
      <c r="BA18" s="43"/>
      <c r="BB18" s="43"/>
      <c r="BC18" s="43"/>
      <c r="BD18" s="43"/>
      <c r="BE18" s="43"/>
      <c r="BF18" s="43"/>
      <c r="BG18" s="43"/>
      <c r="BH18" s="43"/>
    </row>
    <row r="19" spans="5:60" ht="12.75"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</row>
    <row r="20" spans="2:60" ht="12.75">
      <c r="B20" s="9" t="s">
        <v>31</v>
      </c>
      <c r="C20" s="9"/>
      <c r="D20" s="9" t="s">
        <v>16</v>
      </c>
      <c r="E20" s="43"/>
      <c r="F20" s="43">
        <f>'emiss 2'!$G$29</f>
        <v>50979</v>
      </c>
      <c r="G20" s="43"/>
      <c r="H20" s="43">
        <f>'emiss 2'!$I$29</f>
        <v>59474</v>
      </c>
      <c r="I20" s="43"/>
      <c r="J20" s="43">
        <f>'emiss 2'!$K$23</f>
        <v>52720</v>
      </c>
      <c r="K20" s="43"/>
      <c r="L20" s="43">
        <f>'emiss 2'!$M$23</f>
        <v>59058</v>
      </c>
      <c r="M20" s="43"/>
      <c r="N20" s="43">
        <f>'emiss 2'!$G$29</f>
        <v>50979</v>
      </c>
      <c r="O20" s="43"/>
      <c r="P20" s="43">
        <f>'emiss 2'!$I$29</f>
        <v>59474</v>
      </c>
      <c r="Q20" s="43"/>
      <c r="R20" s="43">
        <f>'emiss 2'!$K$23</f>
        <v>52720</v>
      </c>
      <c r="S20" s="43"/>
      <c r="T20" s="43">
        <f>'emiss 2'!$M$23</f>
        <v>59058</v>
      </c>
      <c r="U20" s="43"/>
      <c r="V20" s="43">
        <f>'emiss 2'!$G$29</f>
        <v>50979</v>
      </c>
      <c r="W20" s="43"/>
      <c r="X20" s="43">
        <f>'emiss 2'!$I$29</f>
        <v>59474</v>
      </c>
      <c r="Y20" s="43"/>
      <c r="Z20" s="43">
        <f>'emiss 2'!$K$23</f>
        <v>52720</v>
      </c>
      <c r="AA20" s="43"/>
      <c r="AB20" s="43">
        <f>'emiss 2'!$M$23</f>
        <v>59058</v>
      </c>
      <c r="AC20" s="43"/>
      <c r="AD20" s="43">
        <f>'emiss 2'!$G$29</f>
        <v>50979</v>
      </c>
      <c r="AE20" s="43"/>
      <c r="AF20" s="43">
        <f>'emiss 2'!$I$29</f>
        <v>59474</v>
      </c>
      <c r="AG20" s="43"/>
      <c r="AH20" s="43">
        <f>'emiss 2'!$K$23</f>
        <v>52720</v>
      </c>
      <c r="AI20" s="43"/>
      <c r="AJ20" s="43">
        <f>'emiss 2'!$M$23</f>
        <v>59058</v>
      </c>
      <c r="AK20" s="43"/>
      <c r="AL20" s="43">
        <f>'emiss 2'!$G$29</f>
        <v>50979</v>
      </c>
      <c r="AM20" s="43"/>
      <c r="AN20" s="43">
        <f>'emiss 2'!$I$29</f>
        <v>59474</v>
      </c>
      <c r="AO20" s="43"/>
      <c r="AP20" s="43">
        <f>'emiss 2'!$K$23</f>
        <v>52720</v>
      </c>
      <c r="AQ20" s="43"/>
      <c r="AR20" s="43">
        <f>'emiss 2'!$M$23</f>
        <v>59058</v>
      </c>
      <c r="AS20" s="43"/>
      <c r="AT20" s="43">
        <f>'emiss 2'!$G$29</f>
        <v>50979</v>
      </c>
      <c r="AU20" s="43"/>
      <c r="AV20" s="43">
        <f>'emiss 2'!$I$29</f>
        <v>59474</v>
      </c>
      <c r="AW20" s="43"/>
      <c r="AX20" s="43">
        <f>'emiss 2'!$K$23</f>
        <v>52720</v>
      </c>
      <c r="AY20" s="43"/>
      <c r="AZ20" s="43">
        <f>'emiss 2'!$M$23</f>
        <v>59058</v>
      </c>
      <c r="BA20" s="43"/>
      <c r="BB20" s="43"/>
      <c r="BC20" s="43"/>
      <c r="BD20" s="43"/>
      <c r="BE20" s="43"/>
      <c r="BF20" s="43"/>
      <c r="BG20" s="43"/>
      <c r="BH20" s="43"/>
    </row>
    <row r="21" spans="2:60" ht="12.75">
      <c r="B21" s="9" t="s">
        <v>24</v>
      </c>
      <c r="C21" s="9"/>
      <c r="D21" s="9" t="s">
        <v>14</v>
      </c>
      <c r="E21" s="43"/>
      <c r="F21" s="43">
        <f>'emiss 2'!$G$30</f>
        <v>10.5</v>
      </c>
      <c r="G21" s="43"/>
      <c r="H21" s="43">
        <f>'emiss 2'!$I$30</f>
        <v>10</v>
      </c>
      <c r="I21" s="43"/>
      <c r="J21" s="43">
        <f>'emiss 2'!$K$30</f>
        <v>10.2</v>
      </c>
      <c r="K21" s="43"/>
      <c r="L21" s="43">
        <f>'emiss 2'!$M$30</f>
        <v>10</v>
      </c>
      <c r="M21" s="43"/>
      <c r="N21" s="43">
        <f>'emiss 2'!$G$30</f>
        <v>10.5</v>
      </c>
      <c r="O21" s="43"/>
      <c r="P21" s="43">
        <f>'emiss 2'!$I$30</f>
        <v>10</v>
      </c>
      <c r="Q21" s="43"/>
      <c r="R21" s="43">
        <f>'emiss 2'!$K$30</f>
        <v>10.2</v>
      </c>
      <c r="S21" s="43"/>
      <c r="T21" s="43">
        <f>'emiss 2'!$M$30</f>
        <v>10</v>
      </c>
      <c r="U21" s="43"/>
      <c r="V21" s="43">
        <f>'emiss 2'!$G$30</f>
        <v>10.5</v>
      </c>
      <c r="W21" s="43"/>
      <c r="X21" s="43">
        <f>'emiss 2'!$I$30</f>
        <v>10</v>
      </c>
      <c r="Y21" s="43"/>
      <c r="Z21" s="43">
        <f>'emiss 2'!$K$30</f>
        <v>10.2</v>
      </c>
      <c r="AA21" s="43"/>
      <c r="AB21" s="43">
        <f>'emiss 2'!$M$30</f>
        <v>10</v>
      </c>
      <c r="AC21" s="43"/>
      <c r="AD21" s="43">
        <f>'emiss 2'!$G$30</f>
        <v>10.5</v>
      </c>
      <c r="AE21" s="43"/>
      <c r="AF21" s="43">
        <f>'emiss 2'!$I$30</f>
        <v>10</v>
      </c>
      <c r="AG21" s="43"/>
      <c r="AH21" s="43">
        <f>'emiss 2'!$K$30</f>
        <v>10.2</v>
      </c>
      <c r="AI21" s="43"/>
      <c r="AJ21" s="43">
        <f>'emiss 2'!$M$30</f>
        <v>10</v>
      </c>
      <c r="AK21" s="43"/>
      <c r="AL21" s="43">
        <f>'emiss 2'!$G$30</f>
        <v>10.5</v>
      </c>
      <c r="AM21" s="43"/>
      <c r="AN21" s="43">
        <f>'emiss 2'!$I$30</f>
        <v>10</v>
      </c>
      <c r="AO21" s="43"/>
      <c r="AP21" s="43">
        <f>'emiss 2'!$K$30</f>
        <v>10.2</v>
      </c>
      <c r="AQ21" s="43"/>
      <c r="AR21" s="43">
        <f>'emiss 2'!$M$30</f>
        <v>10</v>
      </c>
      <c r="AS21" s="43"/>
      <c r="AT21" s="43">
        <f>'emiss 2'!$G$30</f>
        <v>10.5</v>
      </c>
      <c r="AU21" s="43"/>
      <c r="AV21" s="43">
        <f>'emiss 2'!$I$30</f>
        <v>10</v>
      </c>
      <c r="AW21" s="43"/>
      <c r="AX21" s="43">
        <f>'emiss 2'!$K$30</f>
        <v>10.2</v>
      </c>
      <c r="AY21" s="43"/>
      <c r="AZ21" s="43">
        <f>'emiss 2'!$M$30</f>
        <v>10</v>
      </c>
      <c r="BA21" s="43"/>
      <c r="BB21" s="43"/>
      <c r="BC21" s="43"/>
      <c r="BD21" s="43"/>
      <c r="BE21" s="43"/>
      <c r="BF21" s="43"/>
      <c r="BG21" s="43"/>
      <c r="BH21" s="43"/>
    </row>
    <row r="22" spans="5:60" ht="12.75"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</row>
    <row r="23" spans="2:60" ht="12.75">
      <c r="B23" s="33" t="s">
        <v>43</v>
      </c>
      <c r="C23" s="3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  <row r="24" spans="2:75" ht="12.75">
      <c r="B24" s="45" t="s">
        <v>22</v>
      </c>
      <c r="D24" s="45" t="s">
        <v>29</v>
      </c>
      <c r="E24" s="43"/>
      <c r="F24" s="64">
        <f aca="true" t="shared" si="0" ref="F24:F29">F13*F$10*454/0.0283/60*14/(21-F$21)/F$20</f>
        <v>47832.347234782545</v>
      </c>
      <c r="G24" s="64"/>
      <c r="H24" s="64">
        <f aca="true" t="shared" si="1" ref="H24:H29">H13*H$10*454/0.0283/60*14/(21-H$21)/H$20</f>
        <v>30897.27147666888</v>
      </c>
      <c r="I24" s="64"/>
      <c r="J24" s="64">
        <f aca="true" t="shared" si="2" ref="J24:J29">J13*J$10*454/0.0283/60*14/(21-J$21)/J$20</f>
        <v>12885.554641364832</v>
      </c>
      <c r="K24" s="64"/>
      <c r="L24" s="64">
        <f aca="true" t="shared" si="3" ref="L24:L29">L13*L$10*454/0.0283/60*14/(21-L$21)/L$20</f>
        <v>0</v>
      </c>
      <c r="M24" s="64"/>
      <c r="N24" s="64">
        <f aca="true" t="shared" si="4" ref="N24:N29">N13*N$10*454/0.0283/60*14/(21-N$21)/N$20</f>
        <v>8274.156907630802</v>
      </c>
      <c r="O24" s="64"/>
      <c r="P24" s="64">
        <f aca="true" t="shared" si="5" ref="P24:P29">P13*P$10*454/0.0283/60*14/(21-P$21)/P$20</f>
        <v>5425.332002625451</v>
      </c>
      <c r="Q24" s="64"/>
      <c r="R24" s="64">
        <f aca="true" t="shared" si="6" ref="R24:R29">R13*R$10*454/0.0283/60*14/(21-R$21)/R$20</f>
        <v>26822.99129426965</v>
      </c>
      <c r="S24" s="64"/>
      <c r="T24" s="64">
        <f aca="true" t="shared" si="7" ref="T24:T29">T13*T$10*454/0.0283/60*14/(21-T$21)/T$20</f>
        <v>2099.219225946297</v>
      </c>
      <c r="U24" s="64"/>
      <c r="V24" s="64">
        <f aca="true" t="shared" si="8" ref="V24:V29">V13*V$10*454/0.0283/60*14/(21-V$21)/V$20</f>
        <v>5227991.636363074</v>
      </c>
      <c r="W24" s="64"/>
      <c r="X24" s="64">
        <f aca="true" t="shared" si="9" ref="X24:X29">X13*X$10*454/0.0283/60*14/(21-X$21)/X$20</f>
        <v>1874434.4695845789</v>
      </c>
      <c r="Y24" s="64"/>
      <c r="Z24" s="64">
        <f aca="true" t="shared" si="10" ref="Z24:Z29">Z13*Z$10*454/0.0283/60*14/(21-Z$21)/Z$20</f>
        <v>2398290.9863111684</v>
      </c>
      <c r="AA24" s="64"/>
      <c r="AB24" s="64">
        <f aca="true" t="shared" si="11" ref="AB24:AB29">AB13*AB$10*454/0.0283/60*14/(21-AB$21)/AB$20</f>
        <v>2938630.3393517</v>
      </c>
      <c r="AC24" s="64">
        <v>100</v>
      </c>
      <c r="AD24" s="64">
        <f aca="true" t="shared" si="12" ref="AD24:AD29">AD13*AD$10*454/0.0283/60*14/(21-AD$21)/AD$20</f>
        <v>1097.2768427792</v>
      </c>
      <c r="AE24" s="64">
        <v>100</v>
      </c>
      <c r="AF24" s="64">
        <f aca="true" t="shared" si="13" ref="AF24:AF29">AF13*AF$10*454/0.0283/60*14/(21-AF$21)/AF$20</f>
        <v>1153.6983952218757</v>
      </c>
      <c r="AG24" s="64">
        <v>100</v>
      </c>
      <c r="AH24" s="64">
        <f aca="true" t="shared" si="14" ref="AH24:AH29">AH13*AH$10*454/0.0283/60*14/(21-AH$21)/AH$20</f>
        <v>1365.4414649174842</v>
      </c>
      <c r="AI24" s="64">
        <v>100</v>
      </c>
      <c r="AJ24" s="64">
        <f aca="true" t="shared" si="15" ref="AJ24:AJ29">AJ13*AJ$10*454/0.0283/60*14/(21-AJ$21)/AJ$20</f>
        <v>1579.1392760837787</v>
      </c>
      <c r="AK24" s="64"/>
      <c r="AL24" s="64">
        <f aca="true" t="shared" si="16" ref="AL24:AL29">AL13*AL$10*454/0.0283/60*14/(21-AL$21)/AL$20</f>
        <v>11488.889244701812</v>
      </c>
      <c r="AM24" s="64"/>
      <c r="AN24" s="64">
        <f aca="true" t="shared" si="17" ref="AN24:AN29">AN13*AN$10*454/0.0283/60*14/(21-AN$21)/AN$20</f>
        <v>11305.694988348134</v>
      </c>
      <c r="AO24" s="64">
        <v>100</v>
      </c>
      <c r="AP24" s="64">
        <f aca="true" t="shared" si="18" ref="AP24:AP29">AP13*AP$10*454/0.0283/60*14/(21-AP$21)/AP$20</f>
        <v>1128.800883633848</v>
      </c>
      <c r="AQ24" s="64"/>
      <c r="AR24" s="64">
        <f aca="true" t="shared" si="19" ref="AR24:AR29">AR13*AR$10*454/0.0283/60*14/(21-AR$21)/AR$20</f>
        <v>12418.813150667935</v>
      </c>
      <c r="AS24" s="64"/>
      <c r="AT24" s="64">
        <f aca="true" t="shared" si="20" ref="AT24:AT29">AT13*AT$10*454/0.0283/60*14/(21-AT$21)/AT$20</f>
        <v>22713.469805765348</v>
      </c>
      <c r="AU24" s="64"/>
      <c r="AV24" s="64">
        <f aca="true" t="shared" si="21" ref="AV24:AV29">AV13*AV$10*454/0.0283/60*14/(21-AV$21)/AV$20</f>
        <v>27384.709447126836</v>
      </c>
      <c r="AW24" s="64"/>
      <c r="AX24" s="64">
        <f aca="true" t="shared" si="22" ref="AX24:AX29">AX13*AX$10*454/0.0283/60*14/(21-AX$21)/AX$20</f>
        <v>27795.719184441252</v>
      </c>
      <c r="AY24" s="64"/>
      <c r="AZ24" s="64">
        <f aca="true" t="shared" si="23" ref="AZ24:AZ29">AZ13*AZ$10*454/0.0283/60*14/(21-AZ$21)/AZ$20</f>
        <v>2664.88828021068</v>
      </c>
      <c r="BA24" s="64"/>
      <c r="BB24" s="64">
        <f>SUM(AT24,AD24,AL24)</f>
        <v>35299.63589324636</v>
      </c>
      <c r="BC24" s="64"/>
      <c r="BD24" s="64">
        <f>SUM(AV24,AF24,AN24)</f>
        <v>39844.102830696844</v>
      </c>
      <c r="BE24" s="64"/>
      <c r="BF24" s="64">
        <f>SUM(AX24,AH24,AP24)</f>
        <v>30289.961532992584</v>
      </c>
      <c r="BG24" s="64"/>
      <c r="BH24" s="64">
        <f>SUM(AZ24,AJ24,AR24)</f>
        <v>16662.840706962394</v>
      </c>
      <c r="BI24" s="64"/>
      <c r="BJ24" s="64">
        <f>F24+N24+V24+AD24+AL24+AT24</f>
        <v>5319397.776398733</v>
      </c>
      <c r="BK24" s="64"/>
      <c r="BL24" s="64">
        <f>H24+P24+X24+AF24+AN24+AV24</f>
        <v>1950601.17589457</v>
      </c>
      <c r="BM24" s="64"/>
      <c r="BN24" s="64">
        <f>J24+R24+Z24+AH24+AP24+AX24</f>
        <v>2468289.4937797952</v>
      </c>
      <c r="BO24" s="64"/>
      <c r="BP24" s="64">
        <f>L24+T24+AB24+AJ24+AR24+AZ24</f>
        <v>2957392.3992846087</v>
      </c>
      <c r="BQ24" s="64"/>
      <c r="BR24" s="64">
        <f>AVERAGE(BJ24,BL24,BN24,BP24)</f>
        <v>3173920.2113394267</v>
      </c>
      <c r="BT24" s="47">
        <f>AVERAGE(V24,X24,Z24,AB24)</f>
        <v>3109836.8579026307</v>
      </c>
      <c r="BU24" s="47">
        <f>AVERAGE(AD24,AF24,AH24,AJ24)+AVERAGE(AL24,AN24,AP24,AR24)+AVERAGE(AT24,AV24,AX24,AZ24)</f>
        <v>30524.135240974545</v>
      </c>
      <c r="BV24" s="47">
        <f>AVERAGE(F24,H24,J24,L24)+AVERAGE(N24,P24,R24,T24)</f>
        <v>33559.21819582211</v>
      </c>
      <c r="BW24" s="47">
        <f>SUM(BT24,BU24,BV24)</f>
        <v>3173920.211339427</v>
      </c>
    </row>
    <row r="25" spans="2:70" ht="12.75">
      <c r="B25" s="45" t="s">
        <v>52</v>
      </c>
      <c r="D25" s="45" t="s">
        <v>29</v>
      </c>
      <c r="E25" s="43"/>
      <c r="F25" s="64">
        <f t="shared" si="0"/>
        <v>276.9241155697936</v>
      </c>
      <c r="G25" s="64">
        <v>100</v>
      </c>
      <c r="H25" s="64">
        <f t="shared" si="1"/>
        <v>411.9636196889184</v>
      </c>
      <c r="I25" s="64">
        <v>100</v>
      </c>
      <c r="J25" s="64">
        <f t="shared" si="2"/>
        <v>184.07935201949766</v>
      </c>
      <c r="K25" s="64"/>
      <c r="L25" s="64">
        <f t="shared" si="3"/>
        <v>0</v>
      </c>
      <c r="M25" s="64">
        <v>100</v>
      </c>
      <c r="N25" s="64">
        <f t="shared" si="4"/>
        <v>13790.261512718005</v>
      </c>
      <c r="O25" s="64">
        <v>100</v>
      </c>
      <c r="P25" s="64">
        <f t="shared" si="5"/>
        <v>9864.240004773546</v>
      </c>
      <c r="Q25" s="64">
        <v>100</v>
      </c>
      <c r="R25" s="64">
        <f t="shared" si="6"/>
        <v>10729.19651770786</v>
      </c>
      <c r="S25" s="64">
        <v>100</v>
      </c>
      <c r="T25" s="64">
        <f t="shared" si="7"/>
        <v>9541.905572483167</v>
      </c>
      <c r="U25" s="64">
        <v>100</v>
      </c>
      <c r="V25" s="64">
        <f t="shared" si="8"/>
        <v>2489.519826839559</v>
      </c>
      <c r="W25" s="64">
        <v>100</v>
      </c>
      <c r="X25" s="64">
        <f t="shared" si="9"/>
        <v>892.5878426593233</v>
      </c>
      <c r="Y25" s="64">
        <v>100</v>
      </c>
      <c r="Z25" s="64">
        <f t="shared" si="10"/>
        <v>1262.2584138479835</v>
      </c>
      <c r="AA25" s="64">
        <v>100</v>
      </c>
      <c r="AB25" s="64">
        <f t="shared" si="11"/>
        <v>1175.45213574068</v>
      </c>
      <c r="AC25" s="64">
        <v>100</v>
      </c>
      <c r="AD25" s="64">
        <f t="shared" si="12"/>
        <v>43.89107371116799</v>
      </c>
      <c r="AE25" s="64">
        <v>100</v>
      </c>
      <c r="AF25" s="64">
        <f t="shared" si="13"/>
        <v>46.147935808875026</v>
      </c>
      <c r="AG25" s="64">
        <v>100</v>
      </c>
      <c r="AH25" s="64">
        <f t="shared" si="14"/>
        <v>54.61765859669936</v>
      </c>
      <c r="AI25" s="64">
        <v>100</v>
      </c>
      <c r="AJ25" s="64">
        <f t="shared" si="15"/>
        <v>63.16557104335113</v>
      </c>
      <c r="AK25" s="64">
        <v>100</v>
      </c>
      <c r="AL25" s="64">
        <f t="shared" si="16"/>
        <v>51.0617299764525</v>
      </c>
      <c r="AM25" s="64">
        <v>100</v>
      </c>
      <c r="AN25" s="64">
        <f t="shared" si="17"/>
        <v>48.10934037594951</v>
      </c>
      <c r="AO25" s="64">
        <v>100</v>
      </c>
      <c r="AP25" s="64">
        <f t="shared" si="18"/>
        <v>45.152035345353916</v>
      </c>
      <c r="AQ25" s="64">
        <v>100</v>
      </c>
      <c r="AR25" s="64">
        <f t="shared" si="19"/>
        <v>60.57957634472163</v>
      </c>
      <c r="AS25" s="64"/>
      <c r="AT25" s="64">
        <f t="shared" si="20"/>
        <v>58996.02546952038</v>
      </c>
      <c r="AU25" s="64"/>
      <c r="AV25" s="64">
        <f t="shared" si="21"/>
        <v>47300.86177231</v>
      </c>
      <c r="AW25" s="64"/>
      <c r="AX25" s="64">
        <f t="shared" si="22"/>
        <v>16930.119866886947</v>
      </c>
      <c r="AY25" s="64"/>
      <c r="AZ25" s="64">
        <f t="shared" si="23"/>
        <v>48856.285137195795</v>
      </c>
      <c r="BA25" s="64"/>
      <c r="BB25" s="64">
        <f aca="true" t="shared" si="24" ref="BB25:BH31">SUM(AT25,AD25,AL25)</f>
        <v>59090.97827320799</v>
      </c>
      <c r="BC25" s="64"/>
      <c r="BD25" s="64">
        <f t="shared" si="24"/>
        <v>47395.11904849483</v>
      </c>
      <c r="BE25" s="64"/>
      <c r="BF25" s="64">
        <f t="shared" si="24"/>
        <v>17029.889560829</v>
      </c>
      <c r="BG25" s="64"/>
      <c r="BH25" s="64">
        <f t="shared" si="24"/>
        <v>48980.03028458387</v>
      </c>
      <c r="BI25" s="64"/>
      <c r="BJ25" s="64">
        <f aca="true" t="shared" si="25" ref="BJ25:BP31">F25+N25+V25+AD25+AL25+AT25</f>
        <v>75647.68372833535</v>
      </c>
      <c r="BK25" s="64"/>
      <c r="BL25" s="64">
        <f t="shared" si="25"/>
        <v>58563.91051561662</v>
      </c>
      <c r="BM25" s="64"/>
      <c r="BN25" s="64">
        <f t="shared" si="25"/>
        <v>29205.423844404344</v>
      </c>
      <c r="BO25" s="64"/>
      <c r="BP25" s="64">
        <f t="shared" si="25"/>
        <v>59697.387992807715</v>
      </c>
      <c r="BQ25" s="64"/>
      <c r="BR25" s="64">
        <f aca="true" t="shared" si="26" ref="BR25:BR31">AVERAGE(BJ25,BL25,BN25,BP25)</f>
        <v>55778.601520291006</v>
      </c>
    </row>
    <row r="26" spans="2:70" ht="12.75">
      <c r="B26" s="45" t="s">
        <v>54</v>
      </c>
      <c r="D26" s="45" t="s">
        <v>29</v>
      </c>
      <c r="E26" s="43">
        <v>100</v>
      </c>
      <c r="F26" s="64">
        <f t="shared" si="0"/>
        <v>12.587459798626982</v>
      </c>
      <c r="G26" s="64">
        <v>100</v>
      </c>
      <c r="H26" s="64">
        <f t="shared" si="1"/>
        <v>10.299090492222959</v>
      </c>
      <c r="I26" s="64">
        <v>100</v>
      </c>
      <c r="J26" s="64">
        <f t="shared" si="2"/>
        <v>4.60198380048744</v>
      </c>
      <c r="K26" s="64"/>
      <c r="L26" s="64">
        <f t="shared" si="3"/>
        <v>0</v>
      </c>
      <c r="M26" s="64">
        <v>100</v>
      </c>
      <c r="N26" s="64">
        <f t="shared" si="4"/>
        <v>344.7565378179502</v>
      </c>
      <c r="O26" s="64">
        <v>100</v>
      </c>
      <c r="P26" s="64">
        <f t="shared" si="5"/>
        <v>246.6060001193387</v>
      </c>
      <c r="Q26" s="64">
        <v>100</v>
      </c>
      <c r="R26" s="64">
        <f t="shared" si="6"/>
        <v>268.22991294269656</v>
      </c>
      <c r="S26" s="64">
        <v>100</v>
      </c>
      <c r="T26" s="64">
        <f t="shared" si="7"/>
        <v>238.54763931207918</v>
      </c>
      <c r="U26" s="64">
        <v>100</v>
      </c>
      <c r="V26" s="64">
        <f t="shared" si="8"/>
        <v>62.23799567098897</v>
      </c>
      <c r="W26" s="64">
        <v>100</v>
      </c>
      <c r="X26" s="64">
        <f t="shared" si="9"/>
        <v>22.31469606648308</v>
      </c>
      <c r="Y26" s="64">
        <v>100</v>
      </c>
      <c r="Z26" s="64">
        <f t="shared" si="10"/>
        <v>31.556460346199593</v>
      </c>
      <c r="AA26" s="64">
        <v>100</v>
      </c>
      <c r="AB26" s="64">
        <f t="shared" si="11"/>
        <v>29.386303393517004</v>
      </c>
      <c r="AC26" s="64">
        <v>100</v>
      </c>
      <c r="AD26" s="64">
        <f t="shared" si="12"/>
        <v>1.0972768427792001</v>
      </c>
      <c r="AE26" s="64">
        <v>100</v>
      </c>
      <c r="AF26" s="64">
        <f t="shared" si="13"/>
        <v>1.153698395221876</v>
      </c>
      <c r="AG26" s="64">
        <v>100</v>
      </c>
      <c r="AH26" s="64">
        <f t="shared" si="14"/>
        <v>1.365441464917484</v>
      </c>
      <c r="AI26" s="64">
        <v>100</v>
      </c>
      <c r="AJ26" s="64">
        <f t="shared" si="15"/>
        <v>1.5791392760837784</v>
      </c>
      <c r="AK26" s="64">
        <v>100</v>
      </c>
      <c r="AL26" s="64">
        <f t="shared" si="16"/>
        <v>1.2765432494113125</v>
      </c>
      <c r="AM26" s="64">
        <v>100</v>
      </c>
      <c r="AN26" s="64">
        <f t="shared" si="17"/>
        <v>1.2027335093987377</v>
      </c>
      <c r="AO26" s="64">
        <v>100</v>
      </c>
      <c r="AP26" s="64">
        <f t="shared" si="18"/>
        <v>1.128800883633848</v>
      </c>
      <c r="AQ26" s="64">
        <v>100</v>
      </c>
      <c r="AR26" s="64">
        <f t="shared" si="19"/>
        <v>1.5144894086180407</v>
      </c>
      <c r="AS26" s="64"/>
      <c r="AT26" s="64">
        <f t="shared" si="20"/>
        <v>442.4701910214028</v>
      </c>
      <c r="AU26" s="64"/>
      <c r="AV26" s="64">
        <f t="shared" si="21"/>
        <v>373.4278560971842</v>
      </c>
      <c r="AW26" s="64"/>
      <c r="AX26" s="64">
        <f t="shared" si="22"/>
        <v>303.22602746663193</v>
      </c>
      <c r="AY26" s="64"/>
      <c r="AZ26" s="64">
        <f t="shared" si="23"/>
        <v>755.051679393026</v>
      </c>
      <c r="BA26" s="64"/>
      <c r="BB26" s="64">
        <f t="shared" si="24"/>
        <v>444.8440111135933</v>
      </c>
      <c r="BC26" s="64"/>
      <c r="BD26" s="64">
        <f t="shared" si="24"/>
        <v>375.7842880018048</v>
      </c>
      <c r="BE26" s="64"/>
      <c r="BF26" s="64">
        <f t="shared" si="24"/>
        <v>305.72026981518326</v>
      </c>
      <c r="BG26" s="64"/>
      <c r="BH26" s="64">
        <f t="shared" si="24"/>
        <v>758.1453080777278</v>
      </c>
      <c r="BI26" s="64"/>
      <c r="BJ26" s="64">
        <f t="shared" si="25"/>
        <v>864.4260044011594</v>
      </c>
      <c r="BK26" s="64"/>
      <c r="BL26" s="64">
        <f t="shared" si="25"/>
        <v>655.0040746798495</v>
      </c>
      <c r="BM26" s="64"/>
      <c r="BN26" s="64">
        <f t="shared" si="25"/>
        <v>610.1086269045668</v>
      </c>
      <c r="BO26" s="64"/>
      <c r="BP26" s="64">
        <f t="shared" si="25"/>
        <v>1026.079250783324</v>
      </c>
      <c r="BQ26" s="64"/>
      <c r="BR26" s="64">
        <f t="shared" si="26"/>
        <v>788.9044891922249</v>
      </c>
    </row>
    <row r="27" spans="2:70" ht="12.75">
      <c r="B27" s="45" t="s">
        <v>58</v>
      </c>
      <c r="D27" s="45" t="s">
        <v>29</v>
      </c>
      <c r="E27" s="43">
        <v>100</v>
      </c>
      <c r="F27" s="64">
        <f t="shared" si="0"/>
        <v>25.174919597253965</v>
      </c>
      <c r="G27" s="64">
        <v>100</v>
      </c>
      <c r="H27" s="64">
        <f t="shared" si="1"/>
        <v>20.598180984445918</v>
      </c>
      <c r="I27" s="64">
        <v>100</v>
      </c>
      <c r="J27" s="64">
        <f t="shared" si="2"/>
        <v>9.20396760097488</v>
      </c>
      <c r="K27" s="64"/>
      <c r="L27" s="64">
        <f t="shared" si="3"/>
        <v>0</v>
      </c>
      <c r="M27" s="64">
        <v>100</v>
      </c>
      <c r="N27" s="64">
        <f t="shared" si="4"/>
        <v>689.5130756359003</v>
      </c>
      <c r="O27" s="64">
        <v>100</v>
      </c>
      <c r="P27" s="64">
        <f t="shared" si="5"/>
        <v>493.2120002386774</v>
      </c>
      <c r="Q27" s="64">
        <v>100</v>
      </c>
      <c r="R27" s="64">
        <f t="shared" si="6"/>
        <v>536.4598258853931</v>
      </c>
      <c r="S27" s="64">
        <v>100</v>
      </c>
      <c r="T27" s="64">
        <f t="shared" si="7"/>
        <v>477.09527862415837</v>
      </c>
      <c r="U27" s="64"/>
      <c r="V27" s="64">
        <f t="shared" si="8"/>
        <v>1618.1878874457134</v>
      </c>
      <c r="W27" s="64"/>
      <c r="X27" s="64">
        <f t="shared" si="9"/>
        <v>263.3134135845003</v>
      </c>
      <c r="Y27" s="64"/>
      <c r="Z27" s="64">
        <f t="shared" si="10"/>
        <v>302.9420193235161</v>
      </c>
      <c r="AA27" s="64"/>
      <c r="AB27" s="64">
        <f t="shared" si="11"/>
        <v>176.317820361102</v>
      </c>
      <c r="AC27" s="64"/>
      <c r="AD27" s="64">
        <f t="shared" si="12"/>
        <v>1031.4402322124479</v>
      </c>
      <c r="AE27" s="64"/>
      <c r="AF27" s="64">
        <f t="shared" si="13"/>
        <v>253.81364694881267</v>
      </c>
      <c r="AG27" s="64"/>
      <c r="AH27" s="64">
        <f t="shared" si="14"/>
        <v>273.08829298349684</v>
      </c>
      <c r="AI27" s="64"/>
      <c r="AJ27" s="64">
        <f t="shared" si="15"/>
        <v>378.99342626010673</v>
      </c>
      <c r="AK27" s="64"/>
      <c r="AL27" s="64">
        <f t="shared" si="16"/>
        <v>1812.691414164064</v>
      </c>
      <c r="AM27" s="64"/>
      <c r="AN27" s="64">
        <f t="shared" si="17"/>
        <v>1515.444221842409</v>
      </c>
      <c r="AO27" s="64"/>
      <c r="AP27" s="64">
        <f t="shared" si="18"/>
        <v>1941.5375198502186</v>
      </c>
      <c r="AQ27" s="64"/>
      <c r="AR27" s="64">
        <f t="shared" si="19"/>
        <v>2423.183053788865</v>
      </c>
      <c r="AS27" s="64"/>
      <c r="AT27" s="64">
        <f t="shared" si="20"/>
        <v>22123.509551070143</v>
      </c>
      <c r="AU27" s="64"/>
      <c r="AV27" s="64">
        <f t="shared" si="21"/>
        <v>17675.585188600053</v>
      </c>
      <c r="AW27" s="64"/>
      <c r="AX27" s="64">
        <f t="shared" si="22"/>
        <v>13392.482879776242</v>
      </c>
      <c r="AY27" s="64"/>
      <c r="AZ27" s="64">
        <f t="shared" si="23"/>
        <v>39529.17615645841</v>
      </c>
      <c r="BA27" s="64"/>
      <c r="BB27" s="64">
        <f t="shared" si="24"/>
        <v>24967.641197446654</v>
      </c>
      <c r="BC27" s="64"/>
      <c r="BD27" s="64">
        <f t="shared" si="24"/>
        <v>19444.843057391274</v>
      </c>
      <c r="BE27" s="64"/>
      <c r="BF27" s="64">
        <f t="shared" si="24"/>
        <v>15607.108692609958</v>
      </c>
      <c r="BG27" s="64"/>
      <c r="BH27" s="64">
        <f t="shared" si="24"/>
        <v>42331.352636507385</v>
      </c>
      <c r="BI27" s="64"/>
      <c r="BJ27" s="64">
        <f t="shared" si="25"/>
        <v>27300.517080125523</v>
      </c>
      <c r="BK27" s="64"/>
      <c r="BL27" s="64">
        <f t="shared" si="25"/>
        <v>20221.9666521989</v>
      </c>
      <c r="BM27" s="64"/>
      <c r="BN27" s="64">
        <f t="shared" si="25"/>
        <v>16455.71450541984</v>
      </c>
      <c r="BO27" s="64"/>
      <c r="BP27" s="64">
        <f t="shared" si="25"/>
        <v>42984.76573549264</v>
      </c>
      <c r="BQ27" s="64"/>
      <c r="BR27" s="64">
        <f t="shared" si="26"/>
        <v>26740.740993309228</v>
      </c>
    </row>
    <row r="28" spans="2:70" ht="12.75">
      <c r="B28" s="45" t="s">
        <v>60</v>
      </c>
      <c r="D28" s="45" t="s">
        <v>29</v>
      </c>
      <c r="E28" s="43">
        <v>100</v>
      </c>
      <c r="F28" s="64">
        <f t="shared" si="0"/>
        <v>125.87459798626982</v>
      </c>
      <c r="G28" s="64"/>
      <c r="H28" s="64">
        <f t="shared" si="1"/>
        <v>170.96490217090118</v>
      </c>
      <c r="I28" s="64"/>
      <c r="J28" s="64">
        <f t="shared" si="2"/>
        <v>68.10936024721411</v>
      </c>
      <c r="K28" s="64"/>
      <c r="L28" s="64">
        <f t="shared" si="3"/>
        <v>0</v>
      </c>
      <c r="M28" s="64">
        <v>100</v>
      </c>
      <c r="N28" s="64">
        <f t="shared" si="4"/>
        <v>3447.5653781795013</v>
      </c>
      <c r="O28" s="64"/>
      <c r="P28" s="64">
        <f t="shared" si="5"/>
        <v>5918.544002864128</v>
      </c>
      <c r="Q28" s="64"/>
      <c r="R28" s="64">
        <f t="shared" si="6"/>
        <v>5096.3683459112335</v>
      </c>
      <c r="S28" s="64"/>
      <c r="T28" s="64">
        <f t="shared" si="7"/>
        <v>6202.23862211406</v>
      </c>
      <c r="U28" s="64"/>
      <c r="V28" s="64">
        <f t="shared" si="8"/>
        <v>12198.64715151384</v>
      </c>
      <c r="W28" s="64"/>
      <c r="X28" s="64">
        <f t="shared" si="9"/>
        <v>2276.098998781274</v>
      </c>
      <c r="Y28" s="64"/>
      <c r="Z28" s="64">
        <f t="shared" si="10"/>
        <v>2524.516827695967</v>
      </c>
      <c r="AA28" s="64"/>
      <c r="AB28" s="64">
        <f t="shared" si="11"/>
        <v>2057.0412375461906</v>
      </c>
      <c r="AC28" s="64"/>
      <c r="AD28" s="64">
        <f t="shared" si="12"/>
        <v>210677.1538136064</v>
      </c>
      <c r="AE28" s="64"/>
      <c r="AF28" s="64">
        <f t="shared" si="13"/>
        <v>216895.29830171273</v>
      </c>
      <c r="AG28" s="64"/>
      <c r="AH28" s="64">
        <f t="shared" si="14"/>
        <v>226663.28317630236</v>
      </c>
      <c r="AI28" s="64"/>
      <c r="AJ28" s="64">
        <f t="shared" si="15"/>
        <v>274770.2340385774</v>
      </c>
      <c r="AK28" s="64"/>
      <c r="AL28" s="64">
        <f t="shared" si="16"/>
        <v>3063.70379858715</v>
      </c>
      <c r="AM28" s="64"/>
      <c r="AN28" s="64">
        <f t="shared" si="17"/>
        <v>18281.54934286081</v>
      </c>
      <c r="AO28" s="64"/>
      <c r="AP28" s="64">
        <f t="shared" si="18"/>
        <v>9707.687599251092</v>
      </c>
      <c r="AQ28" s="64"/>
      <c r="AR28" s="64">
        <f t="shared" si="19"/>
        <v>27260.80935512473</v>
      </c>
      <c r="AS28" s="64"/>
      <c r="AT28" s="64">
        <f t="shared" si="20"/>
        <v>8554.423693080453</v>
      </c>
      <c r="AU28" s="64"/>
      <c r="AV28" s="64">
        <f t="shared" si="21"/>
        <v>5974.845697554947</v>
      </c>
      <c r="AW28" s="64"/>
      <c r="AX28" s="64">
        <f t="shared" si="22"/>
        <v>4548.390411999478</v>
      </c>
      <c r="AY28" s="64"/>
      <c r="AZ28" s="64">
        <f t="shared" si="23"/>
        <v>5773.924607123139</v>
      </c>
      <c r="BA28" s="64"/>
      <c r="BB28" s="64">
        <f t="shared" si="24"/>
        <v>222295.281305274</v>
      </c>
      <c r="BC28" s="64"/>
      <c r="BD28" s="64">
        <f t="shared" si="24"/>
        <v>241151.69334212848</v>
      </c>
      <c r="BE28" s="64"/>
      <c r="BF28" s="64">
        <f t="shared" si="24"/>
        <v>240919.36118755295</v>
      </c>
      <c r="BG28" s="64"/>
      <c r="BH28" s="64">
        <f t="shared" si="24"/>
        <v>307804.96800082526</v>
      </c>
      <c r="BI28" s="64"/>
      <c r="BJ28" s="64">
        <f t="shared" si="25"/>
        <v>238067.3684329536</v>
      </c>
      <c r="BK28" s="64"/>
      <c r="BL28" s="64">
        <f t="shared" si="25"/>
        <v>249517.30124594478</v>
      </c>
      <c r="BM28" s="64"/>
      <c r="BN28" s="64">
        <f t="shared" si="25"/>
        <v>248608.35572140737</v>
      </c>
      <c r="BO28" s="64"/>
      <c r="BP28" s="64">
        <f t="shared" si="25"/>
        <v>316064.2478604855</v>
      </c>
      <c r="BQ28" s="64"/>
      <c r="BR28" s="64">
        <f t="shared" si="26"/>
        <v>263064.31831519783</v>
      </c>
    </row>
    <row r="29" spans="2:70" ht="12.75">
      <c r="B29" s="45" t="s">
        <v>57</v>
      </c>
      <c r="D29" s="45" t="s">
        <v>29</v>
      </c>
      <c r="E29" s="43">
        <v>100</v>
      </c>
      <c r="F29" s="64">
        <f t="shared" si="0"/>
        <v>251.74919597253964</v>
      </c>
      <c r="G29" s="64">
        <v>100</v>
      </c>
      <c r="H29" s="64">
        <f t="shared" si="1"/>
        <v>205.9818098444592</v>
      </c>
      <c r="I29" s="64">
        <v>100</v>
      </c>
      <c r="J29" s="64">
        <f t="shared" si="2"/>
        <v>92.03967600974883</v>
      </c>
      <c r="K29" s="64"/>
      <c r="L29" s="64">
        <f t="shared" si="3"/>
        <v>0</v>
      </c>
      <c r="M29" s="64">
        <v>100</v>
      </c>
      <c r="N29" s="64">
        <f t="shared" si="4"/>
        <v>6895.130756359003</v>
      </c>
      <c r="O29" s="64">
        <v>100</v>
      </c>
      <c r="P29" s="64">
        <f t="shared" si="5"/>
        <v>4932.120002386773</v>
      </c>
      <c r="Q29" s="64">
        <v>100</v>
      </c>
      <c r="R29" s="64">
        <f t="shared" si="6"/>
        <v>5364.59825885393</v>
      </c>
      <c r="S29" s="64">
        <v>100</v>
      </c>
      <c r="T29" s="64">
        <f t="shared" si="7"/>
        <v>4770.952786241583</v>
      </c>
      <c r="U29" s="64"/>
      <c r="V29" s="64">
        <f t="shared" si="8"/>
        <v>27384.71809523515</v>
      </c>
      <c r="W29" s="64"/>
      <c r="X29" s="64">
        <f t="shared" si="9"/>
        <v>5801.820977285602</v>
      </c>
      <c r="Y29" s="64"/>
      <c r="Z29" s="64">
        <f t="shared" si="10"/>
        <v>6942.42127616391</v>
      </c>
      <c r="AA29" s="64"/>
      <c r="AB29" s="64">
        <f t="shared" si="11"/>
        <v>5524.625037981196</v>
      </c>
      <c r="AC29" s="64"/>
      <c r="AD29" s="64">
        <f t="shared" si="12"/>
        <v>921.7125479345281</v>
      </c>
      <c r="AE29" s="64"/>
      <c r="AF29" s="64">
        <f t="shared" si="13"/>
        <v>1130.6244273174382</v>
      </c>
      <c r="AG29" s="64"/>
      <c r="AH29" s="64">
        <f t="shared" si="14"/>
        <v>213.00886852712753</v>
      </c>
      <c r="AI29" s="64"/>
      <c r="AJ29" s="64">
        <f t="shared" si="15"/>
        <v>113.69802787803204</v>
      </c>
      <c r="AK29" s="64"/>
      <c r="AL29" s="64">
        <f t="shared" si="16"/>
        <v>45955.556978807246</v>
      </c>
      <c r="AM29" s="64"/>
      <c r="AN29" s="64">
        <f t="shared" si="17"/>
        <v>149138.95516544342</v>
      </c>
      <c r="AO29" s="64"/>
      <c r="AP29" s="64">
        <f t="shared" si="18"/>
        <v>97076.87599251092</v>
      </c>
      <c r="AQ29" s="64"/>
      <c r="AR29" s="64">
        <f t="shared" si="19"/>
        <v>251405.24183059478</v>
      </c>
      <c r="AS29" s="64"/>
      <c r="AT29" s="64">
        <f t="shared" si="20"/>
        <v>1474.9006367380096</v>
      </c>
      <c r="AU29" s="64"/>
      <c r="AV29" s="64">
        <f t="shared" si="21"/>
        <v>348.53266569070524</v>
      </c>
      <c r="AW29" s="64"/>
      <c r="AX29" s="64">
        <f t="shared" si="22"/>
        <v>237.5270548488616</v>
      </c>
      <c r="AY29" s="64"/>
      <c r="AZ29" s="64">
        <f t="shared" si="23"/>
        <v>133.244414010534</v>
      </c>
      <c r="BA29" s="64"/>
      <c r="BB29" s="64">
        <f t="shared" si="24"/>
        <v>48352.17016347979</v>
      </c>
      <c r="BC29" s="64"/>
      <c r="BD29" s="64">
        <f t="shared" si="24"/>
        <v>150618.11225845155</v>
      </c>
      <c r="BE29" s="64"/>
      <c r="BF29" s="64">
        <f t="shared" si="24"/>
        <v>97527.41191588691</v>
      </c>
      <c r="BG29" s="64"/>
      <c r="BH29" s="64">
        <f t="shared" si="24"/>
        <v>251652.18427248334</v>
      </c>
      <c r="BI29" s="64"/>
      <c r="BJ29" s="64">
        <f t="shared" si="25"/>
        <v>82883.76821104647</v>
      </c>
      <c r="BK29" s="64"/>
      <c r="BL29" s="64">
        <f t="shared" si="25"/>
        <v>161558.03504796838</v>
      </c>
      <c r="BM29" s="64"/>
      <c r="BN29" s="64">
        <f t="shared" si="25"/>
        <v>109926.4711269145</v>
      </c>
      <c r="BO29" s="64"/>
      <c r="BP29" s="64">
        <f t="shared" si="25"/>
        <v>261947.7620967061</v>
      </c>
      <c r="BQ29" s="64"/>
      <c r="BR29" s="64">
        <f t="shared" si="26"/>
        <v>154079.00912065885</v>
      </c>
    </row>
    <row r="30" spans="2:75" ht="12.75">
      <c r="B30" s="45" t="s">
        <v>34</v>
      </c>
      <c r="D30" s="45" t="s">
        <v>29</v>
      </c>
      <c r="E30" s="43">
        <v>100</v>
      </c>
      <c r="F30" s="64">
        <f>F27/2+F29/2</f>
        <v>138.4620577848968</v>
      </c>
      <c r="G30" s="64"/>
      <c r="H30" s="64">
        <f>H27/2+H29/2</f>
        <v>113.28999541445256</v>
      </c>
      <c r="I30" s="64"/>
      <c r="J30" s="64">
        <f>J27/2+J29/2</f>
        <v>50.621821805361854</v>
      </c>
      <c r="K30" s="64"/>
      <c r="L30" s="64">
        <f>L27+L29</f>
        <v>0</v>
      </c>
      <c r="M30" s="64">
        <v>100</v>
      </c>
      <c r="N30" s="64">
        <f>N27/2+N29/2</f>
        <v>3792.3219159974515</v>
      </c>
      <c r="O30" s="64">
        <v>100</v>
      </c>
      <c r="P30" s="64">
        <f>P27/2+P29/2</f>
        <v>2712.6660013127253</v>
      </c>
      <c r="Q30" s="64">
        <v>100</v>
      </c>
      <c r="R30" s="64">
        <f>R27/2+R29/2</f>
        <v>2950.5290423696615</v>
      </c>
      <c r="S30" s="64">
        <v>100</v>
      </c>
      <c r="T30" s="64">
        <f>T27/2+T29/2</f>
        <v>2624.024032432871</v>
      </c>
      <c r="U30" s="64"/>
      <c r="V30" s="64">
        <f>V27+V29</f>
        <v>29002.905982680863</v>
      </c>
      <c r="W30" s="64"/>
      <c r="X30" s="64">
        <f>X27+X29</f>
        <v>6065.134390870102</v>
      </c>
      <c r="Y30" s="64"/>
      <c r="Z30" s="64">
        <f>Z27+Z29</f>
        <v>7245.3632954874265</v>
      </c>
      <c r="AA30" s="64"/>
      <c r="AB30" s="64">
        <f>AB27+AB29</f>
        <v>5700.942858342299</v>
      </c>
      <c r="AC30" s="64"/>
      <c r="AD30" s="64">
        <f>AD27+AD29</f>
        <v>1953.152780146976</v>
      </c>
      <c r="AE30" s="64"/>
      <c r="AF30" s="64">
        <f>AF27+AF29</f>
        <v>1384.4380742662509</v>
      </c>
      <c r="AG30" s="64"/>
      <c r="AH30" s="64">
        <f>AH27+AH29</f>
        <v>486.09716151062435</v>
      </c>
      <c r="AI30" s="64"/>
      <c r="AJ30" s="64">
        <f>AJ27+AJ29</f>
        <v>492.69145413813874</v>
      </c>
      <c r="AK30" s="64"/>
      <c r="AL30" s="64">
        <f>AL27+AL29</f>
        <v>47768.24839297131</v>
      </c>
      <c r="AM30" s="64"/>
      <c r="AN30" s="64">
        <f>AN27+AN29</f>
        <v>150654.39938728584</v>
      </c>
      <c r="AO30" s="64"/>
      <c r="AP30" s="64">
        <f>AP27+AP29</f>
        <v>99018.41351236113</v>
      </c>
      <c r="AQ30" s="64"/>
      <c r="AR30" s="64">
        <f>AR27+AR29</f>
        <v>253828.42488438365</v>
      </c>
      <c r="AS30" s="64"/>
      <c r="AT30" s="64">
        <f>AT27+AT29</f>
        <v>23598.410187808153</v>
      </c>
      <c r="AU30" s="64"/>
      <c r="AV30" s="64">
        <f>AV27+AV29</f>
        <v>18024.11785429076</v>
      </c>
      <c r="AW30" s="64"/>
      <c r="AX30" s="64">
        <f>AX27+AX29</f>
        <v>13630.009934625105</v>
      </c>
      <c r="AY30" s="64"/>
      <c r="AZ30" s="64">
        <f>AZ27+AZ29</f>
        <v>39662.420570468945</v>
      </c>
      <c r="BA30" s="64"/>
      <c r="BB30" s="64">
        <f t="shared" si="24"/>
        <v>73319.81136092644</v>
      </c>
      <c r="BC30" s="64"/>
      <c r="BD30" s="64">
        <f t="shared" si="24"/>
        <v>170062.95531584285</v>
      </c>
      <c r="BE30" s="64"/>
      <c r="BF30" s="64">
        <f t="shared" si="24"/>
        <v>113134.52060849687</v>
      </c>
      <c r="BG30" s="64"/>
      <c r="BH30" s="64">
        <f t="shared" si="24"/>
        <v>293983.53690899076</v>
      </c>
      <c r="BI30" s="64"/>
      <c r="BJ30" s="64">
        <f t="shared" si="25"/>
        <v>106253.50131738966</v>
      </c>
      <c r="BK30" s="64"/>
      <c r="BL30" s="64">
        <f t="shared" si="25"/>
        <v>178954.04570344012</v>
      </c>
      <c r="BM30" s="64"/>
      <c r="BN30" s="64">
        <f t="shared" si="25"/>
        <v>123381.03476815931</v>
      </c>
      <c r="BO30" s="64"/>
      <c r="BP30" s="64">
        <f t="shared" si="25"/>
        <v>302308.5037997659</v>
      </c>
      <c r="BQ30" s="64"/>
      <c r="BR30" s="64">
        <f t="shared" si="26"/>
        <v>177724.27139718874</v>
      </c>
      <c r="BT30" s="47">
        <f>AVERAGE(V30,X30,Z30,AB30)</f>
        <v>12003.586631845172</v>
      </c>
      <c r="BU30" s="47">
        <f>AVERAGE(AD30,AF30,AH30,AJ30)+AVERAGE(AL30,AN30,AP30,AR30)+AVERAGE(AT30,AV30,AX30,AZ30)</f>
        <v>162625.20604856423</v>
      </c>
      <c r="BV30" s="47">
        <f>AVERAGE(F30,H30,J30,L30)+AVERAGE(N30,P30,R30,T30)</f>
        <v>3095.4787167793547</v>
      </c>
      <c r="BW30" s="47">
        <f>SUM(BT30,BU30,BV30)</f>
        <v>177724.27139718874</v>
      </c>
    </row>
    <row r="31" spans="2:75" ht="12.75">
      <c r="B31" s="45" t="s">
        <v>35</v>
      </c>
      <c r="D31" s="45" t="s">
        <v>29</v>
      </c>
      <c r="E31" s="43">
        <f>SUM(F29,F26)/F31*100</f>
        <v>63.63636363636365</v>
      </c>
      <c r="F31" s="64">
        <f>F25+F26+F28</f>
        <v>415.3861733546904</v>
      </c>
      <c r="G31" s="64">
        <f>SUM(H25,H26)/H31*100</f>
        <v>71.18055555555554</v>
      </c>
      <c r="H31" s="64">
        <f>H25+H26+H28</f>
        <v>593.2276123520426</v>
      </c>
      <c r="I31" s="64">
        <f>SUM(J25,J26)/J31*100</f>
        <v>73.47670250896059</v>
      </c>
      <c r="J31" s="64">
        <f>J25+J26+J28</f>
        <v>256.7906960671992</v>
      </c>
      <c r="K31" s="64"/>
      <c r="L31" s="64">
        <f>L25+L26+L28</f>
        <v>0</v>
      </c>
      <c r="M31" s="64">
        <v>100</v>
      </c>
      <c r="N31" s="64">
        <f>N25+N26+N28</f>
        <v>17582.583428715458</v>
      </c>
      <c r="O31" s="64">
        <f>SUM(P25,P26)/P31*100</f>
        <v>63.07692307692307</v>
      </c>
      <c r="P31" s="64">
        <f>P25+P26+P28</f>
        <v>16029.390007757012</v>
      </c>
      <c r="Q31" s="64">
        <f>SUM(R25,R26)/R31*100</f>
        <v>68.33333333333333</v>
      </c>
      <c r="R31" s="64">
        <f>R25+R26+R28</f>
        <v>16093.79477656179</v>
      </c>
      <c r="S31" s="64">
        <f>SUM(T25,T26)/T31*100</f>
        <v>61.194029850746254</v>
      </c>
      <c r="T31" s="64">
        <f>T25+T26+T28</f>
        <v>15982.691833909306</v>
      </c>
      <c r="U31" s="64">
        <f>SUM(V25,V26)/V31*100</f>
        <v>17.299578059071727</v>
      </c>
      <c r="V31" s="64">
        <f>V25+V26+V28</f>
        <v>14750.404974024388</v>
      </c>
      <c r="W31" s="64">
        <f>SUM(X25,X26)/X31*100</f>
        <v>28.671328671328673</v>
      </c>
      <c r="X31" s="64">
        <f>X25+X26+X28</f>
        <v>3191.0015375070807</v>
      </c>
      <c r="Y31" s="64">
        <f>SUM(Z25,Z26)/Z31*100</f>
        <v>33.88429752066116</v>
      </c>
      <c r="Z31" s="64">
        <f>Z25+Z26+Z28</f>
        <v>3818.3317018901503</v>
      </c>
      <c r="AA31" s="64">
        <f>SUM(AB25,AB26)/AB31*100</f>
        <v>36.93693693693693</v>
      </c>
      <c r="AB31" s="64">
        <f>AB25+AB26+AB28</f>
        <v>3261.8796766803875</v>
      </c>
      <c r="AC31" s="64">
        <f>SUM(AD25,AD26)/AD31*100</f>
        <v>0.021351886907908266</v>
      </c>
      <c r="AD31" s="64">
        <f>AD25/2+AD26/2+AD28</f>
        <v>210699.64798888337</v>
      </c>
      <c r="AE31" s="64">
        <f>SUM(AF25,AF26)/AF31*100</f>
        <v>0.021806132841897547</v>
      </c>
      <c r="AF31" s="64">
        <f>AF25/2+AF26/2+AF28</f>
        <v>216918.94911881478</v>
      </c>
      <c r="AG31" s="64">
        <f>SUM(AH25,AH26)/AH31*100</f>
        <v>0.02469574540493493</v>
      </c>
      <c r="AH31" s="64">
        <f>AH25/2+AH26/2+AH28</f>
        <v>226691.27472633315</v>
      </c>
      <c r="AI31" s="64">
        <f>SUM(AJ25,AJ26)/AJ31*100</f>
        <v>0.023560442591533753</v>
      </c>
      <c r="AJ31" s="64">
        <f>AJ25/2+AJ26/2+AJ28</f>
        <v>274802.60639373714</v>
      </c>
      <c r="AK31" s="64"/>
      <c r="AL31" s="64">
        <f>AL25+AL26+AL28</f>
        <v>3116.0420718130135</v>
      </c>
      <c r="AM31" s="64"/>
      <c r="AN31" s="64">
        <f>AN25+AN26+AN28</f>
        <v>18330.861416746156</v>
      </c>
      <c r="AO31" s="64"/>
      <c r="AP31" s="64">
        <f>AP25+AP26+AP28</f>
        <v>9753.96843548008</v>
      </c>
      <c r="AQ31" s="64"/>
      <c r="AR31" s="64">
        <f>AR25+AR26+AR28</f>
        <v>27322.90342087807</v>
      </c>
      <c r="AS31" s="64"/>
      <c r="AT31" s="64">
        <f>AT25+AT26+AT28</f>
        <v>67992.91935362223</v>
      </c>
      <c r="AU31" s="64"/>
      <c r="AV31" s="64">
        <f>AV25+AV26+AV28</f>
        <v>53649.13532596214</v>
      </c>
      <c r="AW31" s="64"/>
      <c r="AX31" s="64">
        <f>AX25+AX26+AX28</f>
        <v>21781.736306353057</v>
      </c>
      <c r="AY31" s="64"/>
      <c r="AZ31" s="64">
        <f>AZ25+AZ26+AZ28</f>
        <v>55385.26142371196</v>
      </c>
      <c r="BA31" s="64"/>
      <c r="BB31" s="64">
        <f t="shared" si="24"/>
        <v>281808.60941431863</v>
      </c>
      <c r="BC31" s="64"/>
      <c r="BD31" s="64">
        <f t="shared" si="24"/>
        <v>288898.9458615231</v>
      </c>
      <c r="BE31" s="64"/>
      <c r="BF31" s="64">
        <f t="shared" si="24"/>
        <v>258226.9794681663</v>
      </c>
      <c r="BG31" s="64"/>
      <c r="BH31" s="64">
        <f t="shared" si="24"/>
        <v>357510.77123832714</v>
      </c>
      <c r="BI31" s="64"/>
      <c r="BJ31" s="64">
        <f t="shared" si="25"/>
        <v>314556.98399041314</v>
      </c>
      <c r="BK31" s="64"/>
      <c r="BL31" s="64">
        <f t="shared" si="25"/>
        <v>308712.5650191392</v>
      </c>
      <c r="BM31" s="64"/>
      <c r="BN31" s="64">
        <f t="shared" si="25"/>
        <v>278395.8966426854</v>
      </c>
      <c r="BO31" s="64"/>
      <c r="BP31" s="64">
        <f t="shared" si="25"/>
        <v>376755.3427489168</v>
      </c>
      <c r="BQ31" s="64"/>
      <c r="BR31" s="64">
        <f t="shared" si="26"/>
        <v>319605.19710028864</v>
      </c>
      <c r="BT31" s="47">
        <f>AVERAGE(V31,X31,Z31,AB31)</f>
        <v>6255.404472525502</v>
      </c>
      <c r="BU31" s="47">
        <f>AVERAGE(AD31,AF31,AH31,AJ31)+AVERAGE(AL31,AN31,AP31,AR31)+AVERAGE(AT31,AV31,AX31,AZ31)</f>
        <v>296611.3264955838</v>
      </c>
      <c r="BV31" s="47">
        <f>AVERAGE(F31,H31,J31,L31)+AVERAGE(N31,P31,R31,T31)</f>
        <v>16738.466132179376</v>
      </c>
      <c r="BW31" s="47">
        <f>SUM(BT31,BU31,BV31)</f>
        <v>319605.1971002887</v>
      </c>
    </row>
    <row r="32" spans="5:60" ht="12.75"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</row>
    <row r="33" spans="2:60" ht="12.75">
      <c r="B33" s="17" t="s">
        <v>112</v>
      </c>
      <c r="C33" s="17"/>
      <c r="D33" s="1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</row>
    <row r="34" spans="5:60" ht="12.75"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</row>
    <row r="35" spans="1:60" ht="12.75">
      <c r="A35" s="45" t="s">
        <v>112</v>
      </c>
      <c r="B35" s="45" t="s">
        <v>132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</row>
    <row r="36" spans="1:60" ht="12.75">
      <c r="A36" s="45" t="s">
        <v>112</v>
      </c>
      <c r="B36" s="45" t="s">
        <v>134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</row>
    <row r="38" ht="12.75">
      <c r="B38" s="45" t="s">
        <v>136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B1">
      <selection activeCell="B2" sqref="B2"/>
    </sheetView>
  </sheetViews>
  <sheetFormatPr defaultColWidth="9.140625" defaultRowHeight="12.75"/>
  <cols>
    <col min="1" max="1" width="7.421875" style="9" hidden="1" customWidth="1"/>
    <col min="2" max="2" width="20.28125" style="9" customWidth="1"/>
    <col min="3" max="3" width="7.421875" style="9" customWidth="1"/>
    <col min="4" max="4" width="11.140625" style="9" customWidth="1"/>
    <col min="5" max="16384" width="9.140625" style="9" customWidth="1"/>
  </cols>
  <sheetData>
    <row r="1" ht="12.75">
      <c r="B1" s="2" t="s">
        <v>156</v>
      </c>
    </row>
    <row r="3" spans="1:7" ht="12.75">
      <c r="A3" s="9" t="s">
        <v>62</v>
      </c>
      <c r="B3" s="2" t="str">
        <f>'feed 1'!B3</f>
        <v>201C10</v>
      </c>
      <c r="D3" s="9" t="s">
        <v>92</v>
      </c>
      <c r="E3" s="9">
        <v>1</v>
      </c>
      <c r="F3" s="9">
        <v>2</v>
      </c>
      <c r="G3" s="9">
        <v>3</v>
      </c>
    </row>
    <row r="5" spans="2:8" s="4" customFormat="1" ht="12.75">
      <c r="B5" s="7" t="s">
        <v>94</v>
      </c>
      <c r="C5" s="7" t="s">
        <v>80</v>
      </c>
      <c r="D5" s="7" t="s">
        <v>82</v>
      </c>
      <c r="E5">
        <v>509</v>
      </c>
      <c r="F5">
        <v>570</v>
      </c>
      <c r="G5">
        <v>566</v>
      </c>
      <c r="H5" s="7"/>
    </row>
    <row r="6" spans="2:7" ht="12.75">
      <c r="B6" s="9" t="s">
        <v>79</v>
      </c>
      <c r="C6" s="9" t="s">
        <v>80</v>
      </c>
      <c r="D6" s="9" t="s">
        <v>82</v>
      </c>
      <c r="E6">
        <v>1829</v>
      </c>
      <c r="F6">
        <v>1794</v>
      </c>
      <c r="G6">
        <v>1871</v>
      </c>
    </row>
    <row r="7" ht="12.75">
      <c r="B7" s="2"/>
    </row>
    <row r="8" spans="1:7" ht="12.75">
      <c r="A8" s="9" t="s">
        <v>62</v>
      </c>
      <c r="B8" s="2" t="str">
        <f>'feed 1'!B42</f>
        <v>201C11</v>
      </c>
      <c r="D8" s="9" t="s">
        <v>91</v>
      </c>
      <c r="E8" s="9">
        <v>1</v>
      </c>
      <c r="F8" s="9">
        <v>2</v>
      </c>
      <c r="G8" s="9">
        <v>3</v>
      </c>
    </row>
    <row r="9" spans="2:8" s="4" customFormat="1" ht="12.75">
      <c r="B9" s="7"/>
      <c r="C9" s="7"/>
      <c r="D9" s="7"/>
      <c r="E9" s="30"/>
      <c r="G9" s="5"/>
      <c r="H9" s="30"/>
    </row>
    <row r="10" spans="2:8" ht="12.75">
      <c r="B10" s="7" t="s">
        <v>95</v>
      </c>
      <c r="C10" s="7" t="s">
        <v>96</v>
      </c>
      <c r="D10" s="7" t="s">
        <v>81</v>
      </c>
      <c r="E10">
        <v>1.8</v>
      </c>
      <c r="F10">
        <v>1.9</v>
      </c>
      <c r="G10">
        <v>2</v>
      </c>
      <c r="H10" s="30"/>
    </row>
  </sheetData>
  <printOptions headings="1" horizontalCentered="1"/>
  <pageMargins left="0.25" right="0.25" top="0.5" bottom="0.5" header="0.5" footer="0.25"/>
  <pageSetup horizontalDpi="300" verticalDpi="300" orientation="portrait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B2" sqref="B2"/>
    </sheetView>
  </sheetViews>
  <sheetFormatPr defaultColWidth="9.140625" defaultRowHeight="12.75"/>
  <cols>
    <col min="1" max="2" width="8.7109375" style="0" hidden="1" customWidth="1"/>
    <col min="3" max="3" width="23.8515625" style="0" customWidth="1"/>
  </cols>
  <sheetData>
    <row r="1" ht="12.75">
      <c r="C1" s="2" t="s">
        <v>157</v>
      </c>
    </row>
    <row r="3" ht="12.75">
      <c r="C3" s="17" t="s">
        <v>107</v>
      </c>
    </row>
    <row r="5" spans="1:31" s="45" customFormat="1" ht="12.75">
      <c r="A5" s="45" t="s">
        <v>107</v>
      </c>
      <c r="B5" s="45" t="s">
        <v>149</v>
      </c>
      <c r="C5" s="45" t="s">
        <v>150</v>
      </c>
      <c r="D5" s="45" t="s">
        <v>80</v>
      </c>
      <c r="E5" s="43">
        <v>1605</v>
      </c>
      <c r="F5" s="43">
        <v>1610</v>
      </c>
      <c r="G5" s="43">
        <v>1608</v>
      </c>
      <c r="H5" s="43">
        <v>1611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22" s="45" customFormat="1" ht="12.75">
      <c r="A6" s="45" t="s">
        <v>107</v>
      </c>
      <c r="B6" s="45" t="s">
        <v>149</v>
      </c>
      <c r="C6" s="45" t="s">
        <v>151</v>
      </c>
      <c r="D6" s="45" t="s">
        <v>80</v>
      </c>
      <c r="E6" s="43">
        <v>480</v>
      </c>
      <c r="F6" s="43">
        <v>518</v>
      </c>
      <c r="G6" s="43">
        <v>468</v>
      </c>
      <c r="H6" s="43">
        <v>509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3" s="45" customFormat="1" ht="12.75">
      <c r="A7" s="45" t="s">
        <v>107</v>
      </c>
      <c r="B7" s="45" t="s">
        <v>149</v>
      </c>
      <c r="C7" s="45" t="s">
        <v>95</v>
      </c>
      <c r="D7" s="45" t="s">
        <v>96</v>
      </c>
      <c r="E7" s="43">
        <v>4.1</v>
      </c>
      <c r="F7" s="43">
        <v>4.9</v>
      </c>
      <c r="G7" s="43">
        <v>4.3</v>
      </c>
      <c r="H7" s="43">
        <v>4.3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</sheetData>
  <printOptions headings="1" horizontalCentered="1"/>
  <pageMargins left="0.25" right="0.25" top="0.5" bottom="0.5" header="0.5" footer="0.25"/>
  <pageSetup horizontalDpi="300" verticalDpi="300" orientation="portrait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2004-02-24T20:27:37Z</cp:lastPrinted>
  <dcterms:created xsi:type="dcterms:W3CDTF">2000-01-10T00:44:42Z</dcterms:created>
  <dcterms:modified xsi:type="dcterms:W3CDTF">2004-02-24T20:27:46Z</dcterms:modified>
  <cp:category/>
  <cp:version/>
  <cp:contentType/>
  <cp:contentStatus/>
</cp:coreProperties>
</file>