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64021" yWindow="3540" windowWidth="12120" windowHeight="6780" tabRatio="630" activeTab="1"/>
  </bookViews>
  <sheets>
    <sheet name="list" sheetId="1" r:id="rId1"/>
    <sheet name="source" sheetId="2" r:id="rId2"/>
    <sheet name="cond" sheetId="3" r:id="rId3"/>
    <sheet name="emiss" sheetId="4" r:id="rId4"/>
    <sheet name="feed" sheetId="5" r:id="rId5"/>
    <sheet name="process" sheetId="6" r:id="rId6"/>
    <sheet name="df c3" sheetId="7" r:id="rId7"/>
  </sheets>
  <definedNames/>
  <calcPr fullCalcOnLoad="1"/>
</workbook>
</file>

<file path=xl/sharedStrings.xml><?xml version="1.0" encoding="utf-8"?>
<sst xmlns="http://schemas.openxmlformats.org/spreadsheetml/2006/main" count="808" uniqueCount="212">
  <si>
    <t>Stack Gas Emissions</t>
  </si>
  <si>
    <t>HW</t>
  </si>
  <si>
    <t>PM</t>
  </si>
  <si>
    <t>HCl</t>
  </si>
  <si>
    <t>Cl2</t>
  </si>
  <si>
    <t>SVM</t>
  </si>
  <si>
    <t>LVM</t>
  </si>
  <si>
    <t>DRE</t>
  </si>
  <si>
    <t>Ash</t>
  </si>
  <si>
    <t>gr/dscf</t>
  </si>
  <si>
    <t>ppmv</t>
  </si>
  <si>
    <t>µg/dscm</t>
  </si>
  <si>
    <t>mg/dscm</t>
  </si>
  <si>
    <t>dscfm</t>
  </si>
  <si>
    <t>%</t>
  </si>
  <si>
    <t>°F</t>
  </si>
  <si>
    <t>EPA ID No.</t>
  </si>
  <si>
    <t>LAD008187080</t>
  </si>
  <si>
    <t>Facility Name</t>
  </si>
  <si>
    <t>Dow Chemical Co.</t>
  </si>
  <si>
    <t>Facility Location</t>
  </si>
  <si>
    <t>Plaquemine</t>
  </si>
  <si>
    <t>LA</t>
  </si>
  <si>
    <t>Unit ID Name/No.</t>
  </si>
  <si>
    <t>F-410</t>
  </si>
  <si>
    <t>Other Sister Facilities</t>
  </si>
  <si>
    <t>F-420 identical unit</t>
  </si>
  <si>
    <t>Combustor Characteristics</t>
  </si>
  <si>
    <t>APCS Characteristics</t>
  </si>
  <si>
    <t>Liquid/gaseous wastes</t>
  </si>
  <si>
    <t>Natural gas</t>
  </si>
  <si>
    <t>Stack Characteristics</t>
  </si>
  <si>
    <t>Tier I for all metals except Cr+6</t>
  </si>
  <si>
    <t xml:space="preserve">     Report Name/Date</t>
  </si>
  <si>
    <t>Trial Burn Report, Vinyl II Plant, Industrial Boiler F-410, Dow Chem., Louisiana Operations, Volume 1: Report, December 19, 1997</t>
  </si>
  <si>
    <t xml:space="preserve">     Report Prepar</t>
  </si>
  <si>
    <t>Radian International</t>
  </si>
  <si>
    <t xml:space="preserve">     Testing Firm</t>
  </si>
  <si>
    <t xml:space="preserve">     Testing Dates</t>
  </si>
  <si>
    <t xml:space="preserve">     Cond. Description</t>
  </si>
  <si>
    <t xml:space="preserve">     Content</t>
  </si>
  <si>
    <t>PM, HCl/Cl2, DRE, CO, Cr+6</t>
  </si>
  <si>
    <t>PM, HCl/Cl2, DRE, CO</t>
  </si>
  <si>
    <t>Organics, PCDD/PCDF</t>
  </si>
  <si>
    <t>Units</t>
  </si>
  <si>
    <t>Run</t>
  </si>
  <si>
    <t>Cond Avg</t>
  </si>
  <si>
    <t>y</t>
  </si>
  <si>
    <t>n</t>
  </si>
  <si>
    <t>nd</t>
  </si>
  <si>
    <t xml:space="preserve">   Stack Gas Flowrate</t>
  </si>
  <si>
    <t xml:space="preserve">   Temperature</t>
  </si>
  <si>
    <t>POHC DRE</t>
  </si>
  <si>
    <t>&gt;</t>
  </si>
  <si>
    <t>2001C3</t>
  </si>
  <si>
    <t>Liq waste</t>
  </si>
  <si>
    <t>lb/hr</t>
  </si>
  <si>
    <t>Heating Value</t>
  </si>
  <si>
    <t>Btu/lb</t>
  </si>
  <si>
    <t>Chlorine</t>
  </si>
  <si>
    <t>mg/L</t>
  </si>
  <si>
    <t>Stack Gas Flowrate</t>
  </si>
  <si>
    <t>2001C1</t>
  </si>
  <si>
    <t>all from spike</t>
  </si>
  <si>
    <t>spiked</t>
  </si>
  <si>
    <t>2001C2</t>
  </si>
  <si>
    <t>no spiking</t>
  </si>
  <si>
    <t>2001C4</t>
  </si>
  <si>
    <t>Process Information</t>
  </si>
  <si>
    <t>Comb Temperature</t>
  </si>
  <si>
    <t>Steam Production</t>
  </si>
  <si>
    <t>gal/min</t>
  </si>
  <si>
    <t>I-TEF</t>
  </si>
  <si>
    <t>Run 1</t>
  </si>
  <si>
    <t>Run 2</t>
  </si>
  <si>
    <t>Run 3</t>
  </si>
  <si>
    <t>Wght Fact</t>
  </si>
  <si>
    <t>Total</t>
  </si>
  <si>
    <t xml:space="preserve"> TEQ</t>
  </si>
  <si>
    <t>TEQ</t>
  </si>
  <si>
    <t>Detected in sample volume (ng)</t>
  </si>
  <si>
    <t>2,3,7,8-TCDD</t>
  </si>
  <si>
    <t>TCDD Other</t>
  </si>
  <si>
    <t>1,2,3,7,8-PCDD</t>
  </si>
  <si>
    <t>PCDD Other</t>
  </si>
  <si>
    <t>1,2,3,4,7,8-HxCDD</t>
  </si>
  <si>
    <t>1,2,3,6,7,8-HxCDD</t>
  </si>
  <si>
    <t>1,2,3,7,8,9-HxCDD</t>
  </si>
  <si>
    <t>HxCDD Other</t>
  </si>
  <si>
    <t>1,2,3,4,6,7,8-HpCDD</t>
  </si>
  <si>
    <t>HpCDD Other</t>
  </si>
  <si>
    <t>OCDD</t>
  </si>
  <si>
    <t>2,3,7,8-TCDF</t>
  </si>
  <si>
    <t>TCDF Other</t>
  </si>
  <si>
    <t>1,2,3,7,8-PCDF</t>
  </si>
  <si>
    <t>2,3,4,7,8-PCDF</t>
  </si>
  <si>
    <t>PCDF Other</t>
  </si>
  <si>
    <t>1,2,3,4,7,8-HxCDF</t>
  </si>
  <si>
    <t>1,2,3,6,7,8-HxCDF</t>
  </si>
  <si>
    <t>2,3,4,6,7,8-HxCDF</t>
  </si>
  <si>
    <t>1,2,3,7,8,9-HxCDF</t>
  </si>
  <si>
    <t>HxCDF Other</t>
  </si>
  <si>
    <t>1,2,3,4,6,7,8-HpCDF</t>
  </si>
  <si>
    <t>1,2,3,4,7,8,9-HpCDF</t>
  </si>
  <si>
    <t>HpCDF Other</t>
  </si>
  <si>
    <t>OCDF</t>
  </si>
  <si>
    <t>Gas sample volume (dscf)</t>
  </si>
  <si>
    <t>O2 (%)</t>
  </si>
  <si>
    <t>PCDD/PCDF (ng in sample)</t>
  </si>
  <si>
    <t>PCDD/PCDF (ng/dscm @ 7% O2)</t>
  </si>
  <si>
    <t>Density</t>
  </si>
  <si>
    <t>g/cm3</t>
  </si>
  <si>
    <t>Permitting Status</t>
  </si>
  <si>
    <t>September 15-16, 1997</t>
  </si>
  <si>
    <t>ug/dscm</t>
  </si>
  <si>
    <t>Oxygen</t>
  </si>
  <si>
    <t>Estimated Firing Rate</t>
  </si>
  <si>
    <t>MMBtu/hr</t>
  </si>
  <si>
    <t>not spiked</t>
  </si>
  <si>
    <t>Trial burn; max waste feedrates (Cr, ash spiking)</t>
  </si>
  <si>
    <t>Risk burn; normal operating conditions</t>
  </si>
  <si>
    <t>Trial burn; min comb chamber temp</t>
  </si>
  <si>
    <t>1/2 ND</t>
  </si>
  <si>
    <t>PCDD/PCDF</t>
  </si>
  <si>
    <t>Liq</t>
  </si>
  <si>
    <t>TEQ Cond Avg</t>
  </si>
  <si>
    <t>Feedstreams</t>
  </si>
  <si>
    <t>Capacity (MMBtu/hr)</t>
  </si>
  <si>
    <t>Hazardous Wastes</t>
  </si>
  <si>
    <t>Haz Waste Description</t>
  </si>
  <si>
    <t>Supplemental Fuel</t>
  </si>
  <si>
    <t>Trial burn; not used for permit setting (max oper cond)</t>
  </si>
  <si>
    <t>7% O2</t>
  </si>
  <si>
    <t>Phase II ID No.</t>
  </si>
  <si>
    <t>Feedrate MTEC Calculations</t>
  </si>
  <si>
    <t>most in actual waste</t>
  </si>
  <si>
    <t>1,1,2-Trichloroethane</t>
  </si>
  <si>
    <t>Chlorobenzene</t>
  </si>
  <si>
    <t>Source Description</t>
  </si>
  <si>
    <t xml:space="preserve">     Cond Description</t>
  </si>
  <si>
    <t xml:space="preserve">    City</t>
  </si>
  <si>
    <t xml:space="preserve">    State</t>
  </si>
  <si>
    <t>Soot Blowing</t>
  </si>
  <si>
    <t xml:space="preserve">    Diameter (ft)</t>
  </si>
  <si>
    <t xml:space="preserve">    Height (ft)</t>
  </si>
  <si>
    <t xml:space="preserve">    Gas Velocity (ft/sec)</t>
  </si>
  <si>
    <t xml:space="preserve">    Gas Temperature (°F)</t>
  </si>
  <si>
    <t>Comments</t>
  </si>
  <si>
    <t>(max oper cond. -- not used for permitting though)</t>
  </si>
  <si>
    <t>PM, HCl/Cl2</t>
  </si>
  <si>
    <t>(min comb temp)</t>
  </si>
  <si>
    <t>(risk burn normal operations)</t>
  </si>
  <si>
    <t>(max oper cond.)</t>
  </si>
  <si>
    <t>POHC Feedrate</t>
  </si>
  <si>
    <t xml:space="preserve">   O2</t>
  </si>
  <si>
    <t xml:space="preserve">   Moisture</t>
  </si>
  <si>
    <t>Emissions Rate</t>
  </si>
  <si>
    <t>Emission Rate</t>
  </si>
  <si>
    <t>Total Chlorine</t>
  </si>
  <si>
    <t>CO (RA)</t>
  </si>
  <si>
    <t>Sampling Train</t>
  </si>
  <si>
    <t>Arsenic</t>
  </si>
  <si>
    <t>Beryllium</t>
  </si>
  <si>
    <t>Antimony</t>
  </si>
  <si>
    <t>Lead</t>
  </si>
  <si>
    <t>Nickel</t>
  </si>
  <si>
    <t>Cadmium</t>
  </si>
  <si>
    <t>Chromium</t>
  </si>
  <si>
    <t>*</t>
  </si>
  <si>
    <t>Thermal Feedrate</t>
  </si>
  <si>
    <t>Mercury</t>
  </si>
  <si>
    <t>Feed Rate</t>
  </si>
  <si>
    <t>Feedstream Description</t>
  </si>
  <si>
    <t>HWC Burn Status (Date if Terminated)</t>
  </si>
  <si>
    <t>(HCl absorber, Cl2 wet scrubber);  Water in HCl absorber, caustic sodium hydroxide in Cl2 scrubber</t>
  </si>
  <si>
    <t>R1</t>
  </si>
  <si>
    <t>R2</t>
  </si>
  <si>
    <t>R3</t>
  </si>
  <si>
    <t xml:space="preserve">     Cond Dates</t>
  </si>
  <si>
    <t>Firetube boiler. Refractory lined furnace, firetube multi-pass boiler, 235 psig steam, 40 MMBtu/hr</t>
  </si>
  <si>
    <t>Liquid-fired boiler</t>
  </si>
  <si>
    <t>Cond Description</t>
  </si>
  <si>
    <t>Feedstream Number</t>
  </si>
  <si>
    <t>Feed Class</t>
  </si>
  <si>
    <t>Liq HW</t>
  </si>
  <si>
    <t>Selenium</t>
  </si>
  <si>
    <t>E1</t>
  </si>
  <si>
    <t xml:space="preserve">HCl/ABS/CWS </t>
  </si>
  <si>
    <t>Combustor Type</t>
  </si>
  <si>
    <t>Combustor Class</t>
  </si>
  <si>
    <t>Number of Sister Facilities</t>
  </si>
  <si>
    <t>APCS Detailed Acronym</t>
  </si>
  <si>
    <t>APCS General Class</t>
  </si>
  <si>
    <t>LEWS</t>
  </si>
  <si>
    <t>source</t>
  </si>
  <si>
    <t>emiss</t>
  </si>
  <si>
    <t>feed</t>
  </si>
  <si>
    <t>process</t>
  </si>
  <si>
    <t>cond</t>
  </si>
  <si>
    <t>Liquid-fired</t>
  </si>
  <si>
    <t>Chromium (Hex)</t>
  </si>
  <si>
    <t>F1</t>
  </si>
  <si>
    <t>F2</t>
  </si>
  <si>
    <t>Feed Class 2</t>
  </si>
  <si>
    <t>Full ND</t>
  </si>
  <si>
    <t>df c3</t>
  </si>
  <si>
    <t>Dow (Plaquemine LA), Boiler F-410</t>
  </si>
  <si>
    <t>Risk burn normal op cond, September 15-16, 1997</t>
  </si>
  <si>
    <t>Condition ID:</t>
  </si>
  <si>
    <t>Facility Name and ID:</t>
  </si>
  <si>
    <t>Condition/Test Date:</t>
  </si>
  <si>
    <t>N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</si>
</sst>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  <numFmt numFmtId="166" formatCode="0.0000"/>
    <numFmt numFmtId="167" formatCode="mmmm\ d\,\ yyyy"/>
    <numFmt numFmtId="168" formatCode="0.00000"/>
    <numFmt numFmtId="169" formatCode="0.000000"/>
    <numFmt numFmtId="170" formatCode="0.00000000"/>
    <numFmt numFmtId="171" formatCode="0.0000000"/>
    <numFmt numFmtId="172" formatCode="0.000000000"/>
  </numFmts>
  <fonts count="7">
    <font>
      <sz val="10"/>
      <name val="Helv"/>
      <family val="0"/>
    </font>
    <font>
      <b/>
      <sz val="10"/>
      <name val="Helv"/>
      <family val="0"/>
    </font>
    <font>
      <i/>
      <sz val="10"/>
      <name val="Helv"/>
      <family val="0"/>
    </font>
    <font>
      <b/>
      <i/>
      <sz val="10"/>
      <name val="Helv"/>
      <family val="0"/>
    </font>
    <font>
      <sz val="10"/>
      <name val="Arial"/>
      <family val="2"/>
    </font>
    <font>
      <b/>
      <sz val="10"/>
      <name val="Arial"/>
      <family val="2"/>
    </font>
    <font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6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165" fontId="4" fillId="0" borderId="0" xfId="0" applyNumberFormat="1" applyFont="1" applyAlignment="1">
      <alignment/>
    </xf>
    <xf numFmtId="166" fontId="4" fillId="0" borderId="0" xfId="0" applyNumberFormat="1" applyFont="1" applyAlignment="1">
      <alignment/>
    </xf>
    <xf numFmtId="2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167" fontId="4" fillId="0" borderId="0" xfId="0" applyNumberFormat="1" applyFont="1" applyAlignment="1">
      <alignment horizontal="left"/>
    </xf>
    <xf numFmtId="15" fontId="4" fillId="0" borderId="0" xfId="0" applyNumberFormat="1" applyFont="1" applyAlignment="1">
      <alignment/>
    </xf>
    <xf numFmtId="164" fontId="4" fillId="0" borderId="0" xfId="0" applyNumberFormat="1" applyFont="1" applyAlignment="1">
      <alignment/>
    </xf>
    <xf numFmtId="0" fontId="5" fillId="0" borderId="0" xfId="0" applyFont="1" applyBorder="1" applyAlignment="1">
      <alignment/>
    </xf>
    <xf numFmtId="0" fontId="4" fillId="0" borderId="0" xfId="0" applyFont="1" applyBorder="1" applyAlignment="1">
      <alignment/>
    </xf>
    <xf numFmtId="11" fontId="4" fillId="0" borderId="0" xfId="0" applyNumberFormat="1" applyFont="1" applyBorder="1" applyAlignment="1">
      <alignment/>
    </xf>
    <xf numFmtId="166" fontId="4" fillId="0" borderId="0" xfId="0" applyNumberFormat="1" applyFont="1" applyBorder="1" applyAlignment="1">
      <alignment/>
    </xf>
    <xf numFmtId="0" fontId="4" fillId="0" borderId="0" xfId="0" applyFont="1" applyBorder="1" applyAlignment="1">
      <alignment horizontal="center"/>
    </xf>
    <xf numFmtId="11" fontId="4" fillId="0" borderId="0" xfId="0" applyNumberFormat="1" applyFont="1" applyBorder="1" applyAlignment="1">
      <alignment horizontal="left"/>
    </xf>
    <xf numFmtId="166" fontId="4" fillId="0" borderId="0" xfId="0" applyNumberFormat="1" applyFont="1" applyBorder="1" applyAlignment="1">
      <alignment horizontal="center"/>
    </xf>
    <xf numFmtId="11" fontId="4" fillId="0" borderId="0" xfId="0" applyNumberFormat="1" applyFont="1" applyBorder="1" applyAlignment="1">
      <alignment horizontal="center"/>
    </xf>
    <xf numFmtId="1" fontId="4" fillId="0" borderId="0" xfId="0" applyNumberFormat="1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/>
    </xf>
    <xf numFmtId="164" fontId="4" fillId="0" borderId="0" xfId="0" applyNumberFormat="1" applyFont="1" applyBorder="1" applyAlignment="1">
      <alignment/>
    </xf>
    <xf numFmtId="0" fontId="4" fillId="0" borderId="0" xfId="0" applyFont="1" applyAlignment="1">
      <alignment horizontal="left" vertical="top" wrapText="1"/>
    </xf>
    <xf numFmtId="0" fontId="6" fillId="0" borderId="0" xfId="0" applyFont="1" applyAlignment="1">
      <alignment/>
    </xf>
    <xf numFmtId="9" fontId="4" fillId="0" borderId="0" xfId="19" applyFont="1" applyAlignment="1">
      <alignment/>
    </xf>
    <xf numFmtId="9" fontId="4" fillId="0" borderId="0" xfId="19" applyFont="1" applyAlignment="1">
      <alignment wrapText="1"/>
    </xf>
    <xf numFmtId="17" fontId="4" fillId="0" borderId="0" xfId="0" applyNumberFormat="1" applyFont="1" applyAlignment="1">
      <alignment horizontal="left"/>
    </xf>
    <xf numFmtId="0" fontId="5" fillId="0" borderId="0" xfId="0" applyFont="1" applyAlignment="1">
      <alignment vertical="top" wrapText="1"/>
    </xf>
    <xf numFmtId="0" fontId="4" fillId="0" borderId="0" xfId="0" applyFont="1" applyAlignment="1">
      <alignment wrapText="1"/>
    </xf>
    <xf numFmtId="0" fontId="4" fillId="0" borderId="0" xfId="0" applyFont="1" applyBorder="1" applyAlignment="1">
      <alignment horizontal="left"/>
    </xf>
    <xf numFmtId="2" fontId="0" fillId="0" borderId="0" xfId="0" applyNumberFormat="1" applyFill="1" applyBorder="1" applyAlignment="1">
      <alignment/>
    </xf>
    <xf numFmtId="165" fontId="4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6"/>
  <sheetViews>
    <sheetView workbookViewId="0" topLeftCell="A1">
      <selection activeCell="A6" sqref="A6"/>
    </sheetView>
  </sheetViews>
  <sheetFormatPr defaultColWidth="9.140625" defaultRowHeight="12.75"/>
  <sheetData>
    <row r="1" ht="12.75">
      <c r="A1" t="s">
        <v>194</v>
      </c>
    </row>
    <row r="2" ht="12.75">
      <c r="A2" t="s">
        <v>198</v>
      </c>
    </row>
    <row r="3" ht="12.75">
      <c r="A3" t="s">
        <v>195</v>
      </c>
    </row>
    <row r="4" ht="12.75">
      <c r="A4" t="s">
        <v>196</v>
      </c>
    </row>
    <row r="5" ht="12.75">
      <c r="A5" t="s">
        <v>197</v>
      </c>
    </row>
    <row r="6" ht="12.75">
      <c r="A6" t="s">
        <v>205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1:C31"/>
  <sheetViews>
    <sheetView tabSelected="1" workbookViewId="0" topLeftCell="B1">
      <selection activeCell="C1" sqref="C1"/>
    </sheetView>
  </sheetViews>
  <sheetFormatPr defaultColWidth="9.140625" defaultRowHeight="12.75"/>
  <cols>
    <col min="1" max="1" width="9.140625" style="1" hidden="1" customWidth="1"/>
    <col min="2" max="2" width="26.140625" style="1" customWidth="1"/>
    <col min="3" max="3" width="60.140625" style="1" customWidth="1"/>
    <col min="4" max="4" width="9.00390625" style="1" customWidth="1"/>
    <col min="5" max="16384" width="11.421875" style="1" customWidth="1"/>
  </cols>
  <sheetData>
    <row r="1" ht="12.75">
      <c r="B1" s="8" t="s">
        <v>138</v>
      </c>
    </row>
    <row r="3" spans="2:3" ht="12.75">
      <c r="B3" s="1" t="s">
        <v>133</v>
      </c>
      <c r="C3" s="3">
        <v>2001</v>
      </c>
    </row>
    <row r="4" spans="2:3" ht="12.75">
      <c r="B4" s="1" t="s">
        <v>16</v>
      </c>
      <c r="C4" s="1" t="s">
        <v>17</v>
      </c>
    </row>
    <row r="5" spans="2:3" ht="12.75">
      <c r="B5" s="1" t="s">
        <v>18</v>
      </c>
      <c r="C5" s="1" t="s">
        <v>19</v>
      </c>
    </row>
    <row r="6" ht="12.75">
      <c r="B6" s="1" t="s">
        <v>20</v>
      </c>
    </row>
    <row r="7" spans="2:3" ht="12.75">
      <c r="B7" s="1" t="s">
        <v>140</v>
      </c>
      <c r="C7" s="1" t="s">
        <v>21</v>
      </c>
    </row>
    <row r="8" spans="2:3" ht="12.75">
      <c r="B8" s="1" t="s">
        <v>141</v>
      </c>
      <c r="C8" s="1" t="s">
        <v>22</v>
      </c>
    </row>
    <row r="9" spans="2:3" ht="12.75">
      <c r="B9" s="1" t="s">
        <v>23</v>
      </c>
      <c r="C9" s="1" t="s">
        <v>24</v>
      </c>
    </row>
    <row r="10" spans="2:3" ht="12.75">
      <c r="B10" s="1" t="s">
        <v>25</v>
      </c>
      <c r="C10" s="1" t="s">
        <v>26</v>
      </c>
    </row>
    <row r="11" spans="2:3" ht="12.75">
      <c r="B11" s="1" t="s">
        <v>190</v>
      </c>
      <c r="C11" s="3">
        <v>1</v>
      </c>
    </row>
    <row r="12" spans="2:3" ht="12.75">
      <c r="B12" s="1" t="s">
        <v>189</v>
      </c>
      <c r="C12" s="1" t="s">
        <v>180</v>
      </c>
    </row>
    <row r="13" spans="2:3" ht="12.75">
      <c r="B13" s="1" t="s">
        <v>188</v>
      </c>
      <c r="C13" s="1" t="s">
        <v>199</v>
      </c>
    </row>
    <row r="14" spans="2:3" s="9" customFormat="1" ht="25.5">
      <c r="B14" s="9" t="s">
        <v>27</v>
      </c>
      <c r="C14" s="9" t="s">
        <v>179</v>
      </c>
    </row>
    <row r="15" spans="2:3" s="9" customFormat="1" ht="12.75">
      <c r="B15" s="9" t="s">
        <v>127</v>
      </c>
      <c r="C15" s="26">
        <v>40</v>
      </c>
    </row>
    <row r="16" ht="12.75">
      <c r="B16" s="1" t="s">
        <v>142</v>
      </c>
    </row>
    <row r="17" spans="2:3" s="28" customFormat="1" ht="12.75">
      <c r="B17" s="1" t="s">
        <v>191</v>
      </c>
      <c r="C17" s="1" t="s">
        <v>187</v>
      </c>
    </row>
    <row r="18" spans="2:3" s="28" customFormat="1" ht="12.75">
      <c r="B18" s="1" t="s">
        <v>192</v>
      </c>
      <c r="C18" s="1" t="s">
        <v>193</v>
      </c>
    </row>
    <row r="19" spans="2:3" ht="25.5">
      <c r="B19" s="28" t="s">
        <v>28</v>
      </c>
      <c r="C19" s="29" t="s">
        <v>174</v>
      </c>
    </row>
    <row r="20" spans="2:3" ht="12.75">
      <c r="B20" s="1" t="s">
        <v>128</v>
      </c>
      <c r="C20" s="1" t="s">
        <v>124</v>
      </c>
    </row>
    <row r="21" spans="2:3" ht="12.75">
      <c r="B21" s="1" t="s">
        <v>129</v>
      </c>
      <c r="C21" s="1" t="s">
        <v>29</v>
      </c>
    </row>
    <row r="22" spans="2:3" ht="12.75">
      <c r="B22" s="1" t="s">
        <v>130</v>
      </c>
      <c r="C22" s="1" t="s">
        <v>30</v>
      </c>
    </row>
    <row r="24" ht="12.75">
      <c r="B24" s="1" t="s">
        <v>31</v>
      </c>
    </row>
    <row r="25" spans="2:3" ht="12.75">
      <c r="B25" s="1" t="s">
        <v>143</v>
      </c>
      <c r="C25" s="3">
        <v>1.96</v>
      </c>
    </row>
    <row r="26" spans="2:3" ht="12.75">
      <c r="B26" s="1" t="s">
        <v>144</v>
      </c>
      <c r="C26" s="3">
        <v>90</v>
      </c>
    </row>
    <row r="27" ht="12.75">
      <c r="B27" s="1" t="s">
        <v>145</v>
      </c>
    </row>
    <row r="28" ht="12.75">
      <c r="B28" s="1" t="s">
        <v>146</v>
      </c>
    </row>
    <row r="30" spans="2:3" ht="12.75">
      <c r="B30" s="1" t="s">
        <v>112</v>
      </c>
      <c r="C30" s="1" t="s">
        <v>32</v>
      </c>
    </row>
    <row r="31" s="32" customFormat="1" ht="25.5">
      <c r="B31" s="32" t="s">
        <v>173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B1:C41"/>
  <sheetViews>
    <sheetView workbookViewId="0" topLeftCell="B1">
      <selection activeCell="B2" sqref="B2"/>
    </sheetView>
  </sheetViews>
  <sheetFormatPr defaultColWidth="9.140625" defaultRowHeight="12.75"/>
  <cols>
    <col min="1" max="1" width="9.140625" style="1" hidden="1" customWidth="1"/>
    <col min="2" max="2" width="22.00390625" style="1" customWidth="1"/>
    <col min="3" max="3" width="50.7109375" style="1" customWidth="1"/>
    <col min="4" max="16384" width="9.140625" style="1" customWidth="1"/>
  </cols>
  <sheetData>
    <row r="1" ht="12.75">
      <c r="B1" s="8" t="s">
        <v>181</v>
      </c>
    </row>
    <row r="3" ht="12.75">
      <c r="B3" s="31" t="s">
        <v>62</v>
      </c>
    </row>
    <row r="4" ht="12.75">
      <c r="B4" s="31"/>
    </row>
    <row r="5" spans="2:3" s="10" customFormat="1" ht="38.25">
      <c r="B5" s="10" t="s">
        <v>33</v>
      </c>
      <c r="C5" s="9" t="s">
        <v>34</v>
      </c>
    </row>
    <row r="6" spans="2:3" ht="12.75">
      <c r="B6" s="1" t="s">
        <v>35</v>
      </c>
      <c r="C6" s="1" t="s">
        <v>36</v>
      </c>
    </row>
    <row r="7" spans="2:3" ht="12.75">
      <c r="B7" s="1" t="s">
        <v>37</v>
      </c>
      <c r="C7" s="1" t="s">
        <v>36</v>
      </c>
    </row>
    <row r="8" spans="2:3" ht="12.75">
      <c r="B8" s="1" t="s">
        <v>38</v>
      </c>
      <c r="C8" s="11">
        <v>34228</v>
      </c>
    </row>
    <row r="9" spans="2:3" ht="12.75">
      <c r="B9" s="1" t="s">
        <v>178</v>
      </c>
      <c r="C9" s="30">
        <v>34212</v>
      </c>
    </row>
    <row r="10" spans="2:3" ht="12.75">
      <c r="B10" s="1" t="s">
        <v>139</v>
      </c>
      <c r="C10" s="1" t="s">
        <v>131</v>
      </c>
    </row>
    <row r="11" spans="2:3" ht="12.75">
      <c r="B11" s="1" t="s">
        <v>40</v>
      </c>
      <c r="C11" s="1" t="s">
        <v>41</v>
      </c>
    </row>
    <row r="13" ht="12.75">
      <c r="B13" s="31" t="s">
        <v>65</v>
      </c>
    </row>
    <row r="14" ht="12.75">
      <c r="B14" s="31"/>
    </row>
    <row r="15" spans="2:3" s="10" customFormat="1" ht="38.25">
      <c r="B15" s="10" t="s">
        <v>33</v>
      </c>
      <c r="C15" s="9" t="s">
        <v>34</v>
      </c>
    </row>
    <row r="16" spans="2:3" ht="12.75">
      <c r="B16" s="1" t="s">
        <v>35</v>
      </c>
      <c r="C16" s="1" t="s">
        <v>36</v>
      </c>
    </row>
    <row r="17" spans="2:3" ht="12.75">
      <c r="B17" s="1" t="s">
        <v>37</v>
      </c>
      <c r="C17" s="1" t="s">
        <v>36</v>
      </c>
    </row>
    <row r="18" spans="2:3" ht="12.75">
      <c r="B18" s="1" t="s">
        <v>38</v>
      </c>
      <c r="C18" s="11">
        <v>34229</v>
      </c>
    </row>
    <row r="19" spans="2:3" ht="12.75">
      <c r="B19" s="1" t="s">
        <v>178</v>
      </c>
      <c r="C19" s="30">
        <v>34212</v>
      </c>
    </row>
    <row r="20" spans="2:3" ht="12.75">
      <c r="B20" s="1" t="s">
        <v>139</v>
      </c>
      <c r="C20" s="1" t="s">
        <v>121</v>
      </c>
    </row>
    <row r="21" spans="2:3" ht="12.75">
      <c r="B21" s="1" t="s">
        <v>40</v>
      </c>
      <c r="C21" s="1" t="s">
        <v>42</v>
      </c>
    </row>
    <row r="23" ht="12.75">
      <c r="B23" s="31" t="s">
        <v>54</v>
      </c>
    </row>
    <row r="24" ht="12.75">
      <c r="B24" s="31"/>
    </row>
    <row r="25" spans="2:3" s="10" customFormat="1" ht="38.25">
      <c r="B25" s="10" t="s">
        <v>33</v>
      </c>
      <c r="C25" s="9" t="s">
        <v>34</v>
      </c>
    </row>
    <row r="26" spans="2:3" ht="12.75">
      <c r="B26" s="1" t="s">
        <v>35</v>
      </c>
      <c r="C26" s="1" t="s">
        <v>36</v>
      </c>
    </row>
    <row r="27" spans="2:3" ht="12.75">
      <c r="B27" s="1" t="s">
        <v>37</v>
      </c>
      <c r="C27" s="1" t="s">
        <v>36</v>
      </c>
    </row>
    <row r="28" spans="2:3" ht="12.75">
      <c r="B28" s="1" t="s">
        <v>38</v>
      </c>
      <c r="C28" s="12" t="s">
        <v>113</v>
      </c>
    </row>
    <row r="29" spans="2:3" ht="12.75">
      <c r="B29" s="1" t="s">
        <v>178</v>
      </c>
      <c r="C29" s="30">
        <v>34212</v>
      </c>
    </row>
    <row r="30" spans="2:3" ht="12.75">
      <c r="B30" s="1" t="s">
        <v>39</v>
      </c>
      <c r="C30" s="1" t="s">
        <v>120</v>
      </c>
    </row>
    <row r="31" spans="2:3" ht="12.75">
      <c r="B31" s="1" t="s">
        <v>40</v>
      </c>
      <c r="C31" s="1" t="s">
        <v>43</v>
      </c>
    </row>
    <row r="33" ht="12.75">
      <c r="B33" s="31" t="s">
        <v>67</v>
      </c>
    </row>
    <row r="34" ht="12.75">
      <c r="B34" s="31"/>
    </row>
    <row r="35" spans="2:3" s="10" customFormat="1" ht="38.25">
      <c r="B35" s="10" t="s">
        <v>33</v>
      </c>
      <c r="C35" s="9" t="s">
        <v>34</v>
      </c>
    </row>
    <row r="36" spans="2:3" ht="12.75">
      <c r="B36" s="1" t="s">
        <v>35</v>
      </c>
      <c r="C36" s="1" t="s">
        <v>36</v>
      </c>
    </row>
    <row r="37" spans="2:3" ht="12.75">
      <c r="B37" s="1" t="s">
        <v>37</v>
      </c>
      <c r="C37" s="1" t="s">
        <v>36</v>
      </c>
    </row>
    <row r="38" spans="2:3" ht="12.75">
      <c r="B38" s="1" t="s">
        <v>38</v>
      </c>
      <c r="C38" s="11">
        <v>34235</v>
      </c>
    </row>
    <row r="39" spans="2:3" ht="12.75">
      <c r="B39" s="1" t="s">
        <v>178</v>
      </c>
      <c r="C39" s="30">
        <v>34212</v>
      </c>
    </row>
    <row r="40" spans="2:3" ht="12.75">
      <c r="B40" s="1" t="s">
        <v>139</v>
      </c>
      <c r="C40" s="1" t="s">
        <v>119</v>
      </c>
    </row>
    <row r="41" spans="2:3" ht="12.75">
      <c r="B41" s="1" t="s">
        <v>40</v>
      </c>
      <c r="C41" s="1" t="s">
        <v>41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O107"/>
  <sheetViews>
    <sheetView zoomScale="75" zoomScaleNormal="75" workbookViewId="0" topLeftCell="B1">
      <selection activeCell="B4" sqref="B4"/>
    </sheetView>
  </sheetViews>
  <sheetFormatPr defaultColWidth="9.140625" defaultRowHeight="12.75"/>
  <cols>
    <col min="1" max="1" width="9.00390625" style="1" hidden="1" customWidth="1"/>
    <col min="2" max="3" width="20.140625" style="1" customWidth="1"/>
    <col min="4" max="4" width="9.140625" style="1" customWidth="1"/>
    <col min="5" max="5" width="6.00390625" style="1" customWidth="1"/>
    <col min="6" max="6" width="3.7109375" style="1" customWidth="1"/>
    <col min="7" max="7" width="9.8515625" style="1" customWidth="1"/>
    <col min="8" max="8" width="3.28125" style="1" customWidth="1"/>
    <col min="9" max="9" width="10.140625" style="1" customWidth="1"/>
    <col min="10" max="10" width="3.57421875" style="1" customWidth="1"/>
    <col min="11" max="11" width="9.8515625" style="1" customWidth="1"/>
    <col min="12" max="12" width="4.57421875" style="1" customWidth="1"/>
    <col min="13" max="13" width="9.8515625" style="1" customWidth="1"/>
    <col min="14" max="14" width="2.421875" style="1" customWidth="1"/>
    <col min="15" max="15" width="9.8515625" style="1" customWidth="1"/>
    <col min="16" max="16384" width="11.421875" style="1" customWidth="1"/>
  </cols>
  <sheetData>
    <row r="1" spans="2:3" ht="12.75">
      <c r="B1" s="8" t="s">
        <v>0</v>
      </c>
      <c r="C1" s="8"/>
    </row>
    <row r="2" ht="12.75" customHeight="1"/>
    <row r="3" spans="3:15" ht="12.75">
      <c r="C3" s="1" t="s">
        <v>147</v>
      </c>
      <c r="D3" s="1" t="s">
        <v>44</v>
      </c>
      <c r="E3" s="1" t="s">
        <v>132</v>
      </c>
      <c r="G3" s="2"/>
      <c r="H3" s="2"/>
      <c r="I3" s="2"/>
      <c r="J3" s="2"/>
      <c r="K3" s="2"/>
      <c r="L3" s="2"/>
      <c r="O3" s="2"/>
    </row>
    <row r="4" spans="7:12" ht="12.75">
      <c r="G4" s="2"/>
      <c r="H4" s="2"/>
      <c r="I4" s="2"/>
      <c r="J4" s="2"/>
      <c r="K4" s="2"/>
      <c r="L4" s="2"/>
    </row>
    <row r="5" spans="2:12" ht="12.75">
      <c r="B5" s="8"/>
      <c r="C5" s="8"/>
      <c r="G5" s="2"/>
      <c r="H5" s="2"/>
      <c r="I5" s="2"/>
      <c r="J5" s="2"/>
      <c r="K5" s="2"/>
      <c r="L5" s="2"/>
    </row>
    <row r="6" spans="1:13" ht="12.75">
      <c r="A6" s="1">
        <v>1</v>
      </c>
      <c r="B6" s="8" t="s">
        <v>62</v>
      </c>
      <c r="C6" s="8" t="s">
        <v>148</v>
      </c>
      <c r="G6" s="2" t="s">
        <v>175</v>
      </c>
      <c r="H6" s="2"/>
      <c r="I6" s="2" t="s">
        <v>176</v>
      </c>
      <c r="J6" s="2"/>
      <c r="K6" s="2" t="s">
        <v>177</v>
      </c>
      <c r="L6" s="2"/>
      <c r="M6" s="2" t="s">
        <v>46</v>
      </c>
    </row>
    <row r="7" spans="2:12" ht="12.75">
      <c r="B7" s="8"/>
      <c r="C7" s="8"/>
      <c r="G7" s="2"/>
      <c r="H7" s="2"/>
      <c r="I7" s="2"/>
      <c r="J7" s="2"/>
      <c r="K7" s="2"/>
      <c r="L7" s="2"/>
    </row>
    <row r="8" spans="2:13" ht="12.75">
      <c r="B8" s="1" t="s">
        <v>2</v>
      </c>
      <c r="C8" s="1" t="s">
        <v>186</v>
      </c>
      <c r="D8" s="1" t="s">
        <v>9</v>
      </c>
      <c r="E8" s="1" t="s">
        <v>47</v>
      </c>
      <c r="G8" s="1">
        <v>0.019</v>
      </c>
      <c r="I8" s="1">
        <v>0.02</v>
      </c>
      <c r="K8" s="1">
        <v>0.019</v>
      </c>
      <c r="M8" s="5">
        <f>AVERAGE(K8,I8,G8)</f>
        <v>0.01933333333333333</v>
      </c>
    </row>
    <row r="9" spans="2:13" ht="12.75">
      <c r="B9" s="1" t="s">
        <v>159</v>
      </c>
      <c r="C9" s="1" t="s">
        <v>186</v>
      </c>
      <c r="D9" s="1" t="s">
        <v>10</v>
      </c>
      <c r="E9" s="1" t="s">
        <v>47</v>
      </c>
      <c r="G9" s="4">
        <v>0</v>
      </c>
      <c r="H9" s="4"/>
      <c r="I9" s="4">
        <v>0</v>
      </c>
      <c r="J9" s="4"/>
      <c r="K9" s="4">
        <v>0</v>
      </c>
      <c r="M9" s="4">
        <f>AVERAGE(K9,I9,G9)</f>
        <v>0</v>
      </c>
    </row>
    <row r="10" spans="2:11" ht="12.75">
      <c r="B10" s="1" t="s">
        <v>3</v>
      </c>
      <c r="D10" s="1" t="s">
        <v>11</v>
      </c>
      <c r="E10" s="1" t="s">
        <v>48</v>
      </c>
      <c r="G10" s="1">
        <v>669</v>
      </c>
      <c r="H10" s="1" t="s">
        <v>49</v>
      </c>
      <c r="I10" s="1">
        <v>20.6</v>
      </c>
      <c r="J10" s="1" t="s">
        <v>49</v>
      </c>
      <c r="K10" s="1">
        <v>20.3</v>
      </c>
    </row>
    <row r="11" spans="2:11" ht="12.75">
      <c r="B11" s="1" t="s">
        <v>4</v>
      </c>
      <c r="D11" s="1" t="s">
        <v>11</v>
      </c>
      <c r="E11" s="1" t="s">
        <v>48</v>
      </c>
      <c r="G11" s="1">
        <v>54.7</v>
      </c>
      <c r="I11" s="1">
        <v>22.1</v>
      </c>
      <c r="K11" s="1">
        <v>16.1</v>
      </c>
    </row>
    <row r="12" spans="2:11" ht="12.75">
      <c r="B12" s="34" t="s">
        <v>200</v>
      </c>
      <c r="D12" s="1" t="s">
        <v>11</v>
      </c>
      <c r="E12" s="1" t="s">
        <v>48</v>
      </c>
      <c r="G12" s="1">
        <v>2</v>
      </c>
      <c r="I12" s="1">
        <v>3.72</v>
      </c>
      <c r="K12" s="1">
        <v>3.61</v>
      </c>
    </row>
    <row r="13" ht="12.75" customHeight="1"/>
    <row r="14" spans="2:3" ht="12.75">
      <c r="B14" s="1" t="s">
        <v>52</v>
      </c>
      <c r="C14" s="1" t="s">
        <v>136</v>
      </c>
    </row>
    <row r="15" spans="2:11" ht="12.75">
      <c r="B15" s="1" t="s">
        <v>153</v>
      </c>
      <c r="D15" s="1" t="s">
        <v>56</v>
      </c>
      <c r="F15" s="2"/>
      <c r="G15" s="1">
        <v>594</v>
      </c>
      <c r="H15" s="2"/>
      <c r="I15" s="1">
        <v>630</v>
      </c>
      <c r="J15" s="2"/>
      <c r="K15" s="1">
        <v>656</v>
      </c>
    </row>
    <row r="16" spans="2:10" ht="12.75">
      <c r="B16" s="1" t="s">
        <v>156</v>
      </c>
      <c r="F16" s="2"/>
      <c r="H16" s="2"/>
      <c r="J16" s="2"/>
    </row>
    <row r="17" spans="2:11" ht="12.75">
      <c r="B17" s="1" t="s">
        <v>7</v>
      </c>
      <c r="C17" s="1" t="s">
        <v>186</v>
      </c>
      <c r="D17" s="1" t="s">
        <v>14</v>
      </c>
      <c r="F17" s="2" t="s">
        <v>53</v>
      </c>
      <c r="G17" s="1">
        <v>99.999998</v>
      </c>
      <c r="H17" s="2" t="s">
        <v>53</v>
      </c>
      <c r="I17" s="1">
        <v>99.999998</v>
      </c>
      <c r="J17" s="2" t="s">
        <v>53</v>
      </c>
      <c r="K17" s="1">
        <v>99.999998</v>
      </c>
    </row>
    <row r="18" spans="2:10" ht="12.75">
      <c r="B18" s="1" t="s">
        <v>52</v>
      </c>
      <c r="C18" s="1" t="s">
        <v>137</v>
      </c>
      <c r="F18" s="2"/>
      <c r="H18" s="2"/>
      <c r="J18" s="2"/>
    </row>
    <row r="19" spans="2:11" ht="12.75">
      <c r="B19" s="1" t="s">
        <v>153</v>
      </c>
      <c r="D19" s="1" t="s">
        <v>56</v>
      </c>
      <c r="F19" s="2"/>
      <c r="G19" s="1">
        <v>185</v>
      </c>
      <c r="H19" s="2"/>
      <c r="I19" s="1">
        <v>191</v>
      </c>
      <c r="J19" s="2"/>
      <c r="K19" s="1">
        <v>188</v>
      </c>
    </row>
    <row r="20" spans="2:10" ht="12.75">
      <c r="B20" s="1" t="s">
        <v>156</v>
      </c>
      <c r="F20" s="2"/>
      <c r="H20" s="2"/>
      <c r="J20" s="2"/>
    </row>
    <row r="21" spans="2:11" ht="12.75">
      <c r="B21" s="1" t="s">
        <v>7</v>
      </c>
      <c r="C21" s="1" t="s">
        <v>186</v>
      </c>
      <c r="D21" s="1" t="s">
        <v>14</v>
      </c>
      <c r="F21" s="2" t="s">
        <v>53</v>
      </c>
      <c r="G21" s="1">
        <v>99.999995</v>
      </c>
      <c r="H21" s="2" t="s">
        <v>53</v>
      </c>
      <c r="I21" s="1">
        <v>99.999998</v>
      </c>
      <c r="J21" s="2" t="s">
        <v>53</v>
      </c>
      <c r="K21" s="1">
        <v>99.999998</v>
      </c>
    </row>
    <row r="22" spans="6:10" ht="12.75">
      <c r="F22" s="2"/>
      <c r="H22" s="2"/>
      <c r="J22" s="2"/>
    </row>
    <row r="23" spans="2:4" ht="12" customHeight="1">
      <c r="B23" s="1" t="s">
        <v>160</v>
      </c>
      <c r="C23" s="1" t="s">
        <v>149</v>
      </c>
      <c r="D23" s="1" t="s">
        <v>186</v>
      </c>
    </row>
    <row r="24" spans="2:13" ht="12.75">
      <c r="B24" s="1" t="s">
        <v>50</v>
      </c>
      <c r="D24" s="1" t="s">
        <v>13</v>
      </c>
      <c r="G24" s="1">
        <v>5688</v>
      </c>
      <c r="I24" s="1">
        <v>5852</v>
      </c>
      <c r="K24" s="1">
        <v>5701</v>
      </c>
      <c r="M24" s="4">
        <f>AVERAGE(K24,I24,G24)</f>
        <v>5747</v>
      </c>
    </row>
    <row r="25" spans="2:13" ht="12.75">
      <c r="B25" s="1" t="s">
        <v>154</v>
      </c>
      <c r="D25" s="1" t="s">
        <v>14</v>
      </c>
      <c r="G25" s="1">
        <v>7.2</v>
      </c>
      <c r="I25" s="1">
        <v>8.3</v>
      </c>
      <c r="K25" s="1">
        <v>7.9</v>
      </c>
      <c r="M25" s="4">
        <f>AVERAGE(K25,I25,G25)</f>
        <v>7.800000000000001</v>
      </c>
    </row>
    <row r="26" spans="2:13" ht="12.75">
      <c r="B26" s="1" t="s">
        <v>155</v>
      </c>
      <c r="D26" s="1" t="s">
        <v>14</v>
      </c>
      <c r="G26" s="1">
        <v>17.7</v>
      </c>
      <c r="I26" s="1">
        <v>17</v>
      </c>
      <c r="K26" s="1">
        <v>17.9</v>
      </c>
      <c r="M26" s="4">
        <f>AVERAGE(K26,I26,G26)</f>
        <v>17.53333333333333</v>
      </c>
    </row>
    <row r="27" spans="2:13" ht="12.75">
      <c r="B27" s="1" t="s">
        <v>51</v>
      </c>
      <c r="D27" s="1" t="s">
        <v>15</v>
      </c>
      <c r="G27" s="1">
        <v>136</v>
      </c>
      <c r="I27" s="1">
        <v>134</v>
      </c>
      <c r="K27" s="1">
        <v>136</v>
      </c>
      <c r="M27" s="4">
        <f>AVERAGE(K27,I27,G27)</f>
        <v>135.33333333333334</v>
      </c>
    </row>
    <row r="29" spans="2:13" ht="12.75">
      <c r="B29" s="1" t="s">
        <v>3</v>
      </c>
      <c r="C29" s="1" t="s">
        <v>186</v>
      </c>
      <c r="D29" s="1" t="s">
        <v>10</v>
      </c>
      <c r="E29" s="1" t="s">
        <v>47</v>
      </c>
      <c r="G29" s="6">
        <f>G10/1000000*(21-7)/(21-G25)*667.8</f>
        <v>0.45323295652173906</v>
      </c>
      <c r="I29" s="6">
        <f>I10/1000000*(21-7)/(21-I25)*667.8</f>
        <v>0.01516484409448819</v>
      </c>
      <c r="K29" s="6">
        <f>K10/1000000*(21-7)/(21-K25)*667.8</f>
        <v>0.014487691603053436</v>
      </c>
      <c r="L29" s="6"/>
      <c r="M29" s="4">
        <f>AVERAGE(K29,I29,G29)</f>
        <v>0.16096183073976023</v>
      </c>
    </row>
    <row r="30" spans="2:13" ht="12.75">
      <c r="B30" s="1" t="s">
        <v>4</v>
      </c>
      <c r="C30" s="1" t="s">
        <v>186</v>
      </c>
      <c r="D30" s="1" t="s">
        <v>10</v>
      </c>
      <c r="E30" s="1" t="s">
        <v>47</v>
      </c>
      <c r="G30" s="6">
        <f>G11/1000000*(21-7)/(21-G25)*343.4</f>
        <v>0.0190562115942029</v>
      </c>
      <c r="I30" s="6">
        <f>I11/1000000*(21-7)/(21-I25)*343.4</f>
        <v>0.008365981102362205</v>
      </c>
      <c r="K30" s="6">
        <f>K11/1000000*(21-7)/(21-K25)*343.4</f>
        <v>0.005908577099236641</v>
      </c>
      <c r="L30" s="6"/>
      <c r="M30" s="4">
        <f>AVERAGE(K30,I30,G30)</f>
        <v>0.011110256598600583</v>
      </c>
    </row>
    <row r="31" spans="2:13" ht="12.75">
      <c r="B31" s="1" t="s">
        <v>158</v>
      </c>
      <c r="C31" s="1" t="s">
        <v>186</v>
      </c>
      <c r="D31" s="1" t="s">
        <v>10</v>
      </c>
      <c r="E31" s="1" t="s">
        <v>47</v>
      </c>
      <c r="G31" s="6">
        <f>G29+2*G30</f>
        <v>0.49134537971014486</v>
      </c>
      <c r="I31" s="6">
        <f>I29+2*I30</f>
        <v>0.0318968062992126</v>
      </c>
      <c r="K31" s="6">
        <f>K29+2*K30</f>
        <v>0.02630484580152672</v>
      </c>
      <c r="L31" s="6"/>
      <c r="M31" s="4">
        <f>AVERAGE(K31,I31,G31)</f>
        <v>0.1831823439369614</v>
      </c>
    </row>
    <row r="32" spans="2:13" ht="12.75">
      <c r="B32" s="34" t="s">
        <v>200</v>
      </c>
      <c r="C32" s="1" t="s">
        <v>186</v>
      </c>
      <c r="D32" s="1" t="s">
        <v>11</v>
      </c>
      <c r="E32" s="1" t="s">
        <v>47</v>
      </c>
      <c r="G32" s="6">
        <f>G12*14/(21-G25)</f>
        <v>2.0289855072463765</v>
      </c>
      <c r="I32" s="6">
        <f>I12*14/(21-I25)</f>
        <v>4.100787401574804</v>
      </c>
      <c r="K32" s="6">
        <f>K12*14/(21-K25)</f>
        <v>3.8580152671755727</v>
      </c>
      <c r="L32" s="6"/>
      <c r="M32" s="4">
        <f>AVERAGE(K32,I32,G32)</f>
        <v>3.329262725332251</v>
      </c>
    </row>
    <row r="33" ht="12.75" customHeight="1"/>
    <row r="34" spans="1:13" ht="12.75">
      <c r="A34" s="1">
        <v>2</v>
      </c>
      <c r="B34" s="8" t="s">
        <v>65</v>
      </c>
      <c r="C34" s="8" t="s">
        <v>150</v>
      </c>
      <c r="G34" s="2" t="s">
        <v>175</v>
      </c>
      <c r="H34" s="2"/>
      <c r="I34" s="2" t="s">
        <v>176</v>
      </c>
      <c r="J34" s="2"/>
      <c r="K34" s="2" t="s">
        <v>177</v>
      </c>
      <c r="L34" s="2"/>
      <c r="M34" s="2" t="s">
        <v>46</v>
      </c>
    </row>
    <row r="36" spans="2:13" ht="12.75">
      <c r="B36" s="1" t="s">
        <v>2</v>
      </c>
      <c r="C36" s="1" t="s">
        <v>186</v>
      </c>
      <c r="D36" s="1" t="s">
        <v>9</v>
      </c>
      <c r="E36" s="1" t="s">
        <v>47</v>
      </c>
      <c r="G36" s="1">
        <v>0.0015</v>
      </c>
      <c r="I36" s="1">
        <v>0.0012</v>
      </c>
      <c r="K36" s="1">
        <v>0.0015</v>
      </c>
      <c r="M36" s="5">
        <f>AVERAGE(K36,I36,G36)</f>
        <v>0.0014000000000000002</v>
      </c>
    </row>
    <row r="37" spans="2:13" ht="12.75">
      <c r="B37" s="1" t="s">
        <v>159</v>
      </c>
      <c r="C37" s="1" t="s">
        <v>186</v>
      </c>
      <c r="D37" s="1" t="s">
        <v>10</v>
      </c>
      <c r="E37" s="1" t="s">
        <v>47</v>
      </c>
      <c r="G37" s="1">
        <v>0</v>
      </c>
      <c r="I37" s="1">
        <v>0</v>
      </c>
      <c r="K37" s="1">
        <v>0</v>
      </c>
      <c r="M37" s="4">
        <f>AVERAGE(K37,I37,G37)</f>
        <v>0</v>
      </c>
    </row>
    <row r="38" spans="2:11" ht="12.75">
      <c r="B38" s="1" t="s">
        <v>3</v>
      </c>
      <c r="D38" s="1" t="s">
        <v>11</v>
      </c>
      <c r="E38" s="1" t="s">
        <v>48</v>
      </c>
      <c r="F38" s="1" t="s">
        <v>49</v>
      </c>
      <c r="G38" s="1">
        <v>19</v>
      </c>
      <c r="H38" s="1" t="s">
        <v>49</v>
      </c>
      <c r="I38" s="1">
        <v>19.3</v>
      </c>
      <c r="J38" s="1" t="s">
        <v>49</v>
      </c>
      <c r="K38" s="1">
        <v>19.6</v>
      </c>
    </row>
    <row r="39" spans="2:11" ht="12.75">
      <c r="B39" s="1" t="s">
        <v>4</v>
      </c>
      <c r="D39" s="1" t="s">
        <v>11</v>
      </c>
      <c r="E39" s="1" t="s">
        <v>48</v>
      </c>
      <c r="G39" s="1">
        <v>16.2</v>
      </c>
      <c r="I39" s="1">
        <v>59.1</v>
      </c>
      <c r="K39" s="1">
        <v>13.6</v>
      </c>
    </row>
    <row r="40" ht="12.75" customHeight="1"/>
    <row r="41" spans="2:10" ht="12.75">
      <c r="B41" s="1" t="s">
        <v>52</v>
      </c>
      <c r="C41" s="1" t="s">
        <v>136</v>
      </c>
      <c r="F41" s="2"/>
      <c r="H41" s="2"/>
      <c r="J41" s="2"/>
    </row>
    <row r="42" spans="2:11" ht="12.75">
      <c r="B42" s="1" t="s">
        <v>153</v>
      </c>
      <c r="D42" s="1" t="s">
        <v>56</v>
      </c>
      <c r="F42" s="2"/>
      <c r="G42" s="1">
        <v>652</v>
      </c>
      <c r="H42" s="2"/>
      <c r="I42" s="1">
        <v>435</v>
      </c>
      <c r="J42" s="2"/>
      <c r="K42" s="1">
        <v>591</v>
      </c>
    </row>
    <row r="43" spans="2:10" ht="12.75">
      <c r="B43" s="1" t="s">
        <v>156</v>
      </c>
      <c r="F43" s="2"/>
      <c r="H43" s="2"/>
      <c r="J43" s="2"/>
    </row>
    <row r="44" spans="2:11" ht="12.75">
      <c r="B44" s="1" t="s">
        <v>7</v>
      </c>
      <c r="C44" s="1" t="s">
        <v>186</v>
      </c>
      <c r="D44" s="1" t="s">
        <v>14</v>
      </c>
      <c r="F44" s="2" t="s">
        <v>53</v>
      </c>
      <c r="G44" s="1">
        <v>99.999998</v>
      </c>
      <c r="H44" s="2" t="s">
        <v>53</v>
      </c>
      <c r="I44" s="1">
        <v>99.999998</v>
      </c>
      <c r="J44" s="2" t="s">
        <v>53</v>
      </c>
      <c r="K44" s="1">
        <v>99.999998</v>
      </c>
    </row>
    <row r="45" spans="6:10" ht="12.75">
      <c r="F45" s="2"/>
      <c r="H45" s="2"/>
      <c r="J45" s="2"/>
    </row>
    <row r="46" spans="2:10" ht="12.75">
      <c r="B46" s="1" t="s">
        <v>52</v>
      </c>
      <c r="C46" s="1" t="s">
        <v>137</v>
      </c>
      <c r="F46" s="2"/>
      <c r="H46" s="2"/>
      <c r="J46" s="2"/>
    </row>
    <row r="47" spans="2:11" ht="12.75">
      <c r="B47" s="1" t="s">
        <v>153</v>
      </c>
      <c r="D47" s="1" t="s">
        <v>56</v>
      </c>
      <c r="F47" s="2"/>
      <c r="G47" s="1">
        <v>89.4</v>
      </c>
      <c r="H47" s="2"/>
      <c r="I47" s="1">
        <v>76.4</v>
      </c>
      <c r="J47" s="2"/>
      <c r="K47" s="1">
        <v>87</v>
      </c>
    </row>
    <row r="48" spans="2:10" ht="12.75">
      <c r="B48" s="1" t="s">
        <v>156</v>
      </c>
      <c r="F48" s="2"/>
      <c r="H48" s="2"/>
      <c r="J48" s="2"/>
    </row>
    <row r="49" spans="2:11" ht="12.75">
      <c r="B49" s="1" t="s">
        <v>7</v>
      </c>
      <c r="C49" s="1" t="s">
        <v>186</v>
      </c>
      <c r="D49" s="1" t="s">
        <v>14</v>
      </c>
      <c r="F49" s="2" t="s">
        <v>53</v>
      </c>
      <c r="G49" s="1">
        <v>99.99998</v>
      </c>
      <c r="H49" s="2" t="s">
        <v>53</v>
      </c>
      <c r="I49" s="1">
        <v>99.99998</v>
      </c>
      <c r="J49" s="2" t="s">
        <v>53</v>
      </c>
      <c r="K49" s="1">
        <v>99.99998</v>
      </c>
    </row>
    <row r="50" spans="6:10" ht="12.75">
      <c r="F50" s="2"/>
      <c r="H50" s="2"/>
      <c r="J50" s="2"/>
    </row>
    <row r="51" spans="2:4" ht="12" customHeight="1">
      <c r="B51" s="1" t="s">
        <v>160</v>
      </c>
      <c r="C51" s="1" t="s">
        <v>149</v>
      </c>
      <c r="D51" s="1" t="s">
        <v>186</v>
      </c>
    </row>
    <row r="52" spans="2:13" ht="12.75">
      <c r="B52" s="1" t="s">
        <v>50</v>
      </c>
      <c r="D52" s="1" t="s">
        <v>13</v>
      </c>
      <c r="G52" s="1">
        <v>5936</v>
      </c>
      <c r="I52" s="1">
        <v>6108</v>
      </c>
      <c r="K52" s="1">
        <v>5946</v>
      </c>
      <c r="M52" s="4">
        <f>AVERAGE(K52,I52,G52)</f>
        <v>5996.666666666667</v>
      </c>
    </row>
    <row r="53" spans="2:13" ht="12.75">
      <c r="B53" s="1" t="s">
        <v>154</v>
      </c>
      <c r="D53" s="1" t="s">
        <v>14</v>
      </c>
      <c r="G53" s="1">
        <v>8.2</v>
      </c>
      <c r="I53" s="1">
        <v>8.1</v>
      </c>
      <c r="K53" s="1">
        <v>7.9</v>
      </c>
      <c r="M53" s="4">
        <f>AVERAGE(K53,I53,G53)</f>
        <v>8.066666666666666</v>
      </c>
    </row>
    <row r="54" spans="2:13" ht="12.75">
      <c r="B54" s="1" t="s">
        <v>155</v>
      </c>
      <c r="D54" s="1" t="s">
        <v>14</v>
      </c>
      <c r="G54" s="1">
        <v>14.1</v>
      </c>
      <c r="I54" s="1">
        <v>14.4</v>
      </c>
      <c r="K54" s="1">
        <v>14.1</v>
      </c>
      <c r="M54" s="4">
        <f>AVERAGE(K54,I54,G54)</f>
        <v>14.200000000000001</v>
      </c>
    </row>
    <row r="55" spans="2:13" ht="12.75">
      <c r="B55" s="1" t="s">
        <v>51</v>
      </c>
      <c r="D55" s="1" t="s">
        <v>15</v>
      </c>
      <c r="G55" s="1">
        <v>127</v>
      </c>
      <c r="I55" s="1">
        <v>128</v>
      </c>
      <c r="K55" s="1">
        <v>127</v>
      </c>
      <c r="M55" s="4">
        <f>AVERAGE(K55,I55,G55)</f>
        <v>127.33333333333333</v>
      </c>
    </row>
    <row r="57" spans="2:13" ht="12.75">
      <c r="B57" s="1" t="s">
        <v>3</v>
      </c>
      <c r="C57" s="1" t="s">
        <v>186</v>
      </c>
      <c r="D57" s="1" t="s">
        <v>10</v>
      </c>
      <c r="E57" s="1" t="s">
        <v>47</v>
      </c>
      <c r="G57" s="6">
        <f>G38/1000000*(21-7)/(21-G53)*667.8</f>
        <v>0.013877718749999999</v>
      </c>
      <c r="I57" s="6">
        <f>I38/1000000*(21-7)/(21-I53)*667.8</f>
        <v>0.013987562790697673</v>
      </c>
      <c r="K57" s="6">
        <f>K38/1000000*(21-7)/(21-K53)*667.8</f>
        <v>0.013988116030534353</v>
      </c>
      <c r="L57" s="6"/>
      <c r="M57" s="6">
        <f>AVERAGE(K57,I57,G57)</f>
        <v>0.013951132523744006</v>
      </c>
    </row>
    <row r="58" spans="2:13" ht="12.75">
      <c r="B58" s="1" t="s">
        <v>4</v>
      </c>
      <c r="C58" s="1" t="s">
        <v>186</v>
      </c>
      <c r="D58" s="1" t="s">
        <v>10</v>
      </c>
      <c r="E58" s="1" t="s">
        <v>47</v>
      </c>
      <c r="G58" s="6">
        <f>G39/1000000*(21-7)/(21-G53)*343.4</f>
        <v>0.00608461875</v>
      </c>
      <c r="I58" s="6">
        <f>I39/1000000*(21-7)/(21-I53)*343.4</f>
        <v>0.02202551627906977</v>
      </c>
      <c r="K58" s="6">
        <f>K39/1000000*(21-7)/(21-K53)*343.4</f>
        <v>0.004991096183206107</v>
      </c>
      <c r="L58" s="6"/>
      <c r="M58" s="6">
        <f>AVERAGE(K58,I58,G58)</f>
        <v>0.011033743737425291</v>
      </c>
    </row>
    <row r="59" spans="2:13" ht="12.75">
      <c r="B59" s="1" t="s">
        <v>158</v>
      </c>
      <c r="C59" s="1" t="s">
        <v>186</v>
      </c>
      <c r="D59" s="1" t="s">
        <v>10</v>
      </c>
      <c r="E59" s="1" t="s">
        <v>47</v>
      </c>
      <c r="G59" s="6">
        <f>G57+2*G58</f>
        <v>0.026046956249999996</v>
      </c>
      <c r="I59" s="6">
        <f>I57+2*I58</f>
        <v>0.05803859534883721</v>
      </c>
      <c r="K59" s="6">
        <f>K57+2*K58</f>
        <v>0.02397030839694657</v>
      </c>
      <c r="L59" s="6"/>
      <c r="M59" s="6">
        <f>AVERAGE(K59,I59,G59)</f>
        <v>0.03601861999859459</v>
      </c>
    </row>
    <row r="61" spans="1:13" ht="12.75">
      <c r="A61" s="1">
        <v>3</v>
      </c>
      <c r="B61" s="8" t="s">
        <v>54</v>
      </c>
      <c r="C61" s="8" t="s">
        <v>151</v>
      </c>
      <c r="G61" s="2" t="s">
        <v>175</v>
      </c>
      <c r="H61" s="2"/>
      <c r="I61" s="2" t="s">
        <v>176</v>
      </c>
      <c r="J61" s="2"/>
      <c r="K61" s="2" t="s">
        <v>177</v>
      </c>
      <c r="L61" s="2"/>
      <c r="M61" s="2" t="s">
        <v>46</v>
      </c>
    </row>
    <row r="63" spans="2:13" ht="12.75">
      <c r="B63" s="1" t="s">
        <v>2</v>
      </c>
      <c r="C63" s="1" t="s">
        <v>186</v>
      </c>
      <c r="D63" s="1" t="s">
        <v>9</v>
      </c>
      <c r="E63" s="1" t="s">
        <v>47</v>
      </c>
      <c r="G63" s="1">
        <v>0.0012</v>
      </c>
      <c r="I63" s="1">
        <v>0.0011</v>
      </c>
      <c r="K63" s="1">
        <v>0.0017</v>
      </c>
      <c r="M63" s="5">
        <f>AVERAGE(K63,I63,G63)</f>
        <v>0.0013333333333333333</v>
      </c>
    </row>
    <row r="64" spans="2:13" ht="12.75">
      <c r="B64" s="1" t="s">
        <v>159</v>
      </c>
      <c r="C64" s="1" t="s">
        <v>186</v>
      </c>
      <c r="D64" s="1" t="s">
        <v>10</v>
      </c>
      <c r="E64" s="1" t="s">
        <v>47</v>
      </c>
      <c r="G64" s="1">
        <v>0</v>
      </c>
      <c r="I64" s="1">
        <v>0</v>
      </c>
      <c r="K64" s="1">
        <v>0</v>
      </c>
      <c r="M64" s="4">
        <f>AVERAGE(K64,I64,G64)</f>
        <v>0</v>
      </c>
    </row>
    <row r="65" spans="2:11" ht="12.75">
      <c r="B65" s="1" t="s">
        <v>3</v>
      </c>
      <c r="D65" s="1" t="s">
        <v>11</v>
      </c>
      <c r="E65" s="1" t="s">
        <v>48</v>
      </c>
      <c r="G65" s="1">
        <v>568</v>
      </c>
      <c r="I65" s="1">
        <v>14420</v>
      </c>
      <c r="K65" s="1">
        <v>414</v>
      </c>
    </row>
    <row r="66" spans="2:11" ht="12.75">
      <c r="B66" s="1" t="s">
        <v>4</v>
      </c>
      <c r="D66" s="1" t="s">
        <v>11</v>
      </c>
      <c r="E66" s="1" t="s">
        <v>48</v>
      </c>
      <c r="G66" s="1">
        <v>113</v>
      </c>
      <c r="I66" s="1">
        <v>803</v>
      </c>
      <c r="K66" s="1">
        <v>22.2</v>
      </c>
    </row>
    <row r="67" ht="12.75" customHeight="1"/>
    <row r="68" spans="2:4" ht="12" customHeight="1">
      <c r="B68" s="1" t="s">
        <v>160</v>
      </c>
      <c r="C68" s="1" t="s">
        <v>149</v>
      </c>
      <c r="D68" s="1" t="s">
        <v>186</v>
      </c>
    </row>
    <row r="69" spans="2:13" ht="12.75">
      <c r="B69" s="1" t="s">
        <v>50</v>
      </c>
      <c r="D69" s="1" t="s">
        <v>13</v>
      </c>
      <c r="G69" s="1">
        <v>5469</v>
      </c>
      <c r="I69" s="1">
        <v>5014</v>
      </c>
      <c r="K69" s="1">
        <v>5211</v>
      </c>
      <c r="M69" s="4">
        <f>AVERAGE(K69,I69,G69)</f>
        <v>5231.333333333333</v>
      </c>
    </row>
    <row r="70" spans="2:13" ht="12.75">
      <c r="B70" s="1" t="s">
        <v>154</v>
      </c>
      <c r="D70" s="1" t="s">
        <v>14</v>
      </c>
      <c r="G70" s="1">
        <v>8.5</v>
      </c>
      <c r="I70" s="1">
        <v>8.7</v>
      </c>
      <c r="K70" s="1">
        <v>8.3</v>
      </c>
      <c r="M70" s="4">
        <f>AVERAGE(K70,I70,G70)</f>
        <v>8.5</v>
      </c>
    </row>
    <row r="71" spans="2:13" ht="12.75">
      <c r="B71" s="1" t="s">
        <v>155</v>
      </c>
      <c r="D71" s="1" t="s">
        <v>14</v>
      </c>
      <c r="G71" s="1">
        <v>7.5</v>
      </c>
      <c r="I71" s="1">
        <v>7.7</v>
      </c>
      <c r="K71" s="1">
        <v>7.5</v>
      </c>
      <c r="M71" s="4">
        <f>AVERAGE(K71,I71,G71)</f>
        <v>7.566666666666666</v>
      </c>
    </row>
    <row r="72" spans="2:13" ht="12.75">
      <c r="B72" s="1" t="s">
        <v>51</v>
      </c>
      <c r="D72" s="1" t="s">
        <v>15</v>
      </c>
      <c r="G72" s="1">
        <v>105</v>
      </c>
      <c r="I72" s="1">
        <v>106</v>
      </c>
      <c r="K72" s="1">
        <v>105</v>
      </c>
      <c r="M72" s="4">
        <f>AVERAGE(K72,I72,G72)</f>
        <v>105.33333333333333</v>
      </c>
    </row>
    <row r="74" spans="2:13" ht="12.75">
      <c r="B74" s="1" t="s">
        <v>3</v>
      </c>
      <c r="C74" s="1" t="s">
        <v>186</v>
      </c>
      <c r="D74" s="1" t="s">
        <v>10</v>
      </c>
      <c r="E74" s="1" t="s">
        <v>47</v>
      </c>
      <c r="G74" s="6">
        <f>G65/1000000*(21-7)/(21-G70)*667.8</f>
        <v>0.42482764800000006</v>
      </c>
      <c r="I74" s="6">
        <f>I65/1000000*(21-7)/(21-I70)*667.8</f>
        <v>10.960606829268292</v>
      </c>
      <c r="K74" s="6">
        <f>K65/1000000*(21-7)/(21-K70)*667.8</f>
        <v>0.30476919685039366</v>
      </c>
      <c r="L74" s="6"/>
      <c r="M74" s="6">
        <f>AVERAGE(K74,I74,G74)</f>
        <v>3.896734558039562</v>
      </c>
    </row>
    <row r="75" spans="2:13" ht="12.75">
      <c r="B75" s="1" t="s">
        <v>4</v>
      </c>
      <c r="C75" s="1" t="s">
        <v>186</v>
      </c>
      <c r="D75" s="1" t="s">
        <v>10</v>
      </c>
      <c r="E75" s="1" t="s">
        <v>47</v>
      </c>
      <c r="G75" s="6">
        <f>G66/1000000*(21-7)/(21-G70)*343.4</f>
        <v>0.04346070399999999</v>
      </c>
      <c r="I75" s="6">
        <f>I66/1000000*(21-7)/(21-I70)*343.4</f>
        <v>0.3138620162601626</v>
      </c>
      <c r="K75" s="6">
        <f>K66/1000000*(21-7)/(21-K70)*343.4</f>
        <v>0.008403836220472442</v>
      </c>
      <c r="L75" s="6"/>
      <c r="M75" s="6">
        <f>AVERAGE(K75,I75,G75)</f>
        <v>0.12190885216021168</v>
      </c>
    </row>
    <row r="76" spans="2:13" ht="12.75">
      <c r="B76" s="1" t="s">
        <v>158</v>
      </c>
      <c r="C76" s="1" t="s">
        <v>186</v>
      </c>
      <c r="D76" s="1" t="s">
        <v>10</v>
      </c>
      <c r="E76" s="1" t="s">
        <v>47</v>
      </c>
      <c r="G76" s="6">
        <f>G74+2*G75</f>
        <v>0.511749056</v>
      </c>
      <c r="I76" s="6">
        <f>I74+2*I75</f>
        <v>11.588330861788616</v>
      </c>
      <c r="K76" s="6">
        <f>K74+2*K75</f>
        <v>0.32157686929133855</v>
      </c>
      <c r="L76" s="6"/>
      <c r="M76" s="6">
        <f>AVERAGE(K76,I76,G76)</f>
        <v>4.140552262359985</v>
      </c>
    </row>
    <row r="78" spans="1:13" ht="12.75">
      <c r="A78" s="1">
        <v>4</v>
      </c>
      <c r="B78" s="8" t="s">
        <v>67</v>
      </c>
      <c r="C78" s="8" t="s">
        <v>152</v>
      </c>
      <c r="G78" s="2" t="s">
        <v>175</v>
      </c>
      <c r="H78" s="2"/>
      <c r="I78" s="2" t="s">
        <v>176</v>
      </c>
      <c r="J78" s="2"/>
      <c r="K78" s="2" t="s">
        <v>177</v>
      </c>
      <c r="L78" s="2"/>
      <c r="M78" s="2" t="s">
        <v>46</v>
      </c>
    </row>
    <row r="80" spans="2:13" ht="12.75">
      <c r="B80" s="1" t="s">
        <v>2</v>
      </c>
      <c r="C80" s="1" t="s">
        <v>186</v>
      </c>
      <c r="D80" s="1" t="s">
        <v>9</v>
      </c>
      <c r="E80" s="1" t="s">
        <v>47</v>
      </c>
      <c r="G80" s="1">
        <v>0.031</v>
      </c>
      <c r="I80" s="1">
        <v>0.03</v>
      </c>
      <c r="K80" s="1">
        <v>0.032</v>
      </c>
      <c r="M80" s="5">
        <f>AVERAGE(K80,I80,G80)</f>
        <v>0.031</v>
      </c>
    </row>
    <row r="81" spans="2:13" ht="12.75">
      <c r="B81" s="1" t="s">
        <v>159</v>
      </c>
      <c r="C81" s="1" t="s">
        <v>186</v>
      </c>
      <c r="D81" s="1" t="s">
        <v>10</v>
      </c>
      <c r="E81" s="1" t="s">
        <v>47</v>
      </c>
      <c r="G81" s="1">
        <v>0</v>
      </c>
      <c r="I81" s="1">
        <v>0</v>
      </c>
      <c r="K81" s="1">
        <v>0</v>
      </c>
      <c r="M81" s="4">
        <f>AVERAGE(K81,I81,G81)</f>
        <v>0</v>
      </c>
    </row>
    <row r="82" spans="2:11" ht="12.75">
      <c r="B82" s="1" t="s">
        <v>3</v>
      </c>
      <c r="D82" s="1" t="s">
        <v>11</v>
      </c>
      <c r="E82" s="1" t="s">
        <v>48</v>
      </c>
      <c r="G82" s="1">
        <v>328</v>
      </c>
      <c r="I82" s="1">
        <v>182</v>
      </c>
      <c r="K82" s="1">
        <v>225</v>
      </c>
    </row>
    <row r="83" spans="2:11" ht="12.75">
      <c r="B83" s="1" t="s">
        <v>4</v>
      </c>
      <c r="D83" s="1" t="s">
        <v>11</v>
      </c>
      <c r="E83" s="1" t="s">
        <v>48</v>
      </c>
      <c r="G83" s="1">
        <v>2173</v>
      </c>
      <c r="I83" s="1">
        <v>723</v>
      </c>
      <c r="K83" s="1">
        <v>1126</v>
      </c>
    </row>
    <row r="84" spans="2:11" ht="12.75">
      <c r="B84" s="34" t="s">
        <v>200</v>
      </c>
      <c r="D84" s="1" t="s">
        <v>11</v>
      </c>
      <c r="E84" s="1" t="s">
        <v>48</v>
      </c>
      <c r="G84" s="1">
        <v>6.6</v>
      </c>
      <c r="I84" s="1">
        <v>7.9</v>
      </c>
      <c r="K84" s="1">
        <v>6.1</v>
      </c>
    </row>
    <row r="85" ht="12.75" customHeight="1"/>
    <row r="86" spans="2:10" ht="12.75">
      <c r="B86" s="1" t="s">
        <v>52</v>
      </c>
      <c r="C86" s="1" t="s">
        <v>136</v>
      </c>
      <c r="F86" s="2"/>
      <c r="H86" s="2"/>
      <c r="J86" s="2"/>
    </row>
    <row r="87" spans="2:11" ht="12.75">
      <c r="B87" s="1" t="s">
        <v>153</v>
      </c>
      <c r="D87" s="1" t="s">
        <v>56</v>
      </c>
      <c r="F87" s="2"/>
      <c r="G87" s="1">
        <v>559</v>
      </c>
      <c r="H87" s="2"/>
      <c r="I87" s="1">
        <v>591</v>
      </c>
      <c r="J87" s="2"/>
      <c r="K87" s="1">
        <v>633</v>
      </c>
    </row>
    <row r="88" spans="2:10" ht="12.75">
      <c r="B88" s="1" t="s">
        <v>156</v>
      </c>
      <c r="F88" s="2"/>
      <c r="H88" s="2"/>
      <c r="J88" s="2"/>
    </row>
    <row r="89" spans="2:11" ht="12.75">
      <c r="B89" s="1" t="s">
        <v>7</v>
      </c>
      <c r="C89" s="1" t="s">
        <v>186</v>
      </c>
      <c r="D89" s="1" t="s">
        <v>14</v>
      </c>
      <c r="F89" s="2" t="s">
        <v>53</v>
      </c>
      <c r="G89" s="1">
        <v>99.999998</v>
      </c>
      <c r="H89" s="2" t="s">
        <v>53</v>
      </c>
      <c r="I89" s="1">
        <v>99.999998</v>
      </c>
      <c r="J89" s="2" t="s">
        <v>53</v>
      </c>
      <c r="K89" s="1">
        <v>99.999998</v>
      </c>
    </row>
    <row r="90" spans="6:10" ht="12.75">
      <c r="F90" s="2"/>
      <c r="H90" s="2"/>
      <c r="J90" s="2"/>
    </row>
    <row r="91" spans="2:10" ht="12.75">
      <c r="B91" s="1" t="s">
        <v>52</v>
      </c>
      <c r="C91" s="1" t="s">
        <v>137</v>
      </c>
      <c r="F91" s="2"/>
      <c r="H91" s="2"/>
      <c r="J91" s="2"/>
    </row>
    <row r="92" spans="2:11" ht="12.75">
      <c r="B92" s="1" t="s">
        <v>153</v>
      </c>
      <c r="D92" s="1" t="s">
        <v>56</v>
      </c>
      <c r="F92" s="2"/>
      <c r="G92" s="1">
        <v>87.2</v>
      </c>
      <c r="H92" s="2"/>
      <c r="I92" s="1">
        <v>88.9</v>
      </c>
      <c r="J92" s="2"/>
      <c r="K92" s="1">
        <v>92</v>
      </c>
    </row>
    <row r="93" spans="2:10" ht="12.75">
      <c r="B93" s="1" t="s">
        <v>157</v>
      </c>
      <c r="F93" s="2"/>
      <c r="H93" s="2"/>
      <c r="J93" s="2"/>
    </row>
    <row r="94" spans="2:11" ht="12.75">
      <c r="B94" s="1" t="s">
        <v>7</v>
      </c>
      <c r="C94" s="1" t="s">
        <v>186</v>
      </c>
      <c r="D94" s="1" t="s">
        <v>14</v>
      </c>
      <c r="F94" s="2" t="s">
        <v>53</v>
      </c>
      <c r="G94" s="1">
        <v>99.99998</v>
      </c>
      <c r="H94" s="2" t="s">
        <v>53</v>
      </c>
      <c r="I94" s="1">
        <v>99.99998</v>
      </c>
      <c r="J94" s="2" t="s">
        <v>53</v>
      </c>
      <c r="K94" s="1">
        <v>99.99998</v>
      </c>
    </row>
    <row r="95" spans="6:10" ht="12.75">
      <c r="F95" s="2"/>
      <c r="H95" s="2"/>
      <c r="J95" s="2"/>
    </row>
    <row r="96" spans="2:4" ht="12" customHeight="1">
      <c r="B96" s="1" t="s">
        <v>160</v>
      </c>
      <c r="C96" s="1" t="s">
        <v>149</v>
      </c>
      <c r="D96" s="1" t="s">
        <v>186</v>
      </c>
    </row>
    <row r="97" spans="2:13" ht="12.75">
      <c r="B97" s="1" t="s">
        <v>50</v>
      </c>
      <c r="D97" s="1" t="s">
        <v>13</v>
      </c>
      <c r="G97" s="1">
        <v>7994</v>
      </c>
      <c r="I97" s="1">
        <v>8026</v>
      </c>
      <c r="K97" s="1">
        <v>8009</v>
      </c>
      <c r="M97" s="4">
        <f>AVERAGE(K97,I97,G97)</f>
        <v>8009.666666666667</v>
      </c>
    </row>
    <row r="98" spans="2:13" ht="12.75">
      <c r="B98" s="1" t="s">
        <v>154</v>
      </c>
      <c r="D98" s="1" t="s">
        <v>14</v>
      </c>
      <c r="G98" s="1">
        <v>7.4</v>
      </c>
      <c r="I98" s="1">
        <v>7.2</v>
      </c>
      <c r="K98" s="1">
        <v>7.4</v>
      </c>
      <c r="M98" s="4">
        <f>AVERAGE(K98,I98,G98)</f>
        <v>7.333333333333333</v>
      </c>
    </row>
    <row r="99" spans="2:13" ht="12.75">
      <c r="B99" s="1" t="s">
        <v>155</v>
      </c>
      <c r="D99" s="1" t="s">
        <v>14</v>
      </c>
      <c r="G99" s="1">
        <v>18.8</v>
      </c>
      <c r="I99" s="1">
        <v>18.7</v>
      </c>
      <c r="K99" s="1">
        <v>19</v>
      </c>
      <c r="M99" s="4">
        <f>AVERAGE(K99,I99,G99)</f>
        <v>18.833333333333332</v>
      </c>
    </row>
    <row r="100" spans="2:13" ht="12.75">
      <c r="B100" s="1" t="s">
        <v>51</v>
      </c>
      <c r="D100" s="1" t="s">
        <v>15</v>
      </c>
      <c r="G100" s="1">
        <v>138</v>
      </c>
      <c r="I100" s="1">
        <v>138</v>
      </c>
      <c r="K100" s="1">
        <v>139</v>
      </c>
      <c r="M100" s="4">
        <f>AVERAGE(K100,I100,G100)</f>
        <v>138.33333333333334</v>
      </c>
    </row>
    <row r="102" spans="2:13" ht="12.75">
      <c r="B102" s="1" t="s">
        <v>3</v>
      </c>
      <c r="C102" s="1" t="s">
        <v>186</v>
      </c>
      <c r="D102" s="1" t="s">
        <v>10</v>
      </c>
      <c r="E102" s="1" t="s">
        <v>47</v>
      </c>
      <c r="G102" s="6">
        <f>G82/1000000*(21-7)/(21-G98)*667.8</f>
        <v>0.22548070588235292</v>
      </c>
      <c r="I102" s="6">
        <f>I82/1000000*(21-7)/(21-I98)*667.8</f>
        <v>0.12330104347826085</v>
      </c>
      <c r="K102" s="6">
        <f>K82/1000000*(21-7)/(21-K98)*667.8</f>
        <v>0.15467426470588233</v>
      </c>
      <c r="L102" s="6"/>
      <c r="M102" s="4">
        <f>AVERAGE(K102,I102,G102)</f>
        <v>0.1678186713554987</v>
      </c>
    </row>
    <row r="103" spans="2:13" ht="12.75">
      <c r="B103" s="1" t="s">
        <v>4</v>
      </c>
      <c r="C103" s="1" t="s">
        <v>186</v>
      </c>
      <c r="D103" s="1" t="s">
        <v>10</v>
      </c>
      <c r="E103" s="1" t="s">
        <v>47</v>
      </c>
      <c r="G103" s="6">
        <f>G83/1000000*(21-7)/(21-G98)*343.4</f>
        <v>0.7681555000000001</v>
      </c>
      <c r="I103" s="6">
        <f>I83/1000000*(21-7)/(21-I98)*343.4</f>
        <v>0.2518764347826087</v>
      </c>
      <c r="K103" s="6">
        <f>K83/1000000*(21-7)/(21-K98)*343.4</f>
        <v>0.398041</v>
      </c>
      <c r="L103" s="6"/>
      <c r="M103" s="4">
        <f>AVERAGE(K103,I103,G103)</f>
        <v>0.47269097826086953</v>
      </c>
    </row>
    <row r="104" spans="2:13" ht="12.75">
      <c r="B104" s="1" t="s">
        <v>158</v>
      </c>
      <c r="C104" s="1" t="s">
        <v>186</v>
      </c>
      <c r="D104" s="1" t="s">
        <v>10</v>
      </c>
      <c r="E104" s="1" t="s">
        <v>47</v>
      </c>
      <c r="G104" s="6">
        <f>G102+2*G103</f>
        <v>1.7617917058823531</v>
      </c>
      <c r="I104" s="6">
        <f>I102+2*I103</f>
        <v>0.6270539130434782</v>
      </c>
      <c r="K104" s="6">
        <f>K102+2*K103</f>
        <v>0.9507562647058823</v>
      </c>
      <c r="L104" s="6"/>
      <c r="M104" s="4">
        <f>AVERAGE(K104,I104,G104)</f>
        <v>1.113200627877238</v>
      </c>
    </row>
    <row r="105" spans="2:13" ht="12.75">
      <c r="B105" s="34" t="s">
        <v>200</v>
      </c>
      <c r="C105" s="1" t="s">
        <v>186</v>
      </c>
      <c r="D105" s="1" t="s">
        <v>11</v>
      </c>
      <c r="E105" s="1" t="s">
        <v>47</v>
      </c>
      <c r="G105" s="6">
        <f>G84*14/(21-G98)</f>
        <v>6.794117647058823</v>
      </c>
      <c r="I105" s="6">
        <f>I84*14/(21-I98)</f>
        <v>8.01449275362319</v>
      </c>
      <c r="K105" s="6">
        <f>K84*14/(21-K98)</f>
        <v>6.279411764705882</v>
      </c>
      <c r="L105" s="6"/>
      <c r="M105" s="4">
        <f>AVERAGE(K105,I105,G105)</f>
        <v>7.029340721795965</v>
      </c>
    </row>
    <row r="107" spans="2:3" ht="12.75">
      <c r="B107" s="8"/>
      <c r="C107" s="8"/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Y116"/>
  <sheetViews>
    <sheetView zoomScale="75" zoomScaleNormal="75" workbookViewId="0" topLeftCell="B1">
      <selection activeCell="F1" sqref="F1"/>
    </sheetView>
  </sheetViews>
  <sheetFormatPr defaultColWidth="9.140625" defaultRowHeight="12.75"/>
  <cols>
    <col min="1" max="1" width="10.28125" style="1" hidden="1" customWidth="1"/>
    <col min="2" max="2" width="19.00390625" style="1" customWidth="1"/>
    <col min="3" max="3" width="2.28125" style="1" customWidth="1"/>
    <col min="4" max="4" width="9.00390625" style="1" customWidth="1"/>
    <col min="5" max="5" width="4.57421875" style="1" customWidth="1"/>
    <col min="6" max="6" width="12.00390625" style="1" customWidth="1"/>
    <col min="7" max="7" width="4.00390625" style="1" customWidth="1"/>
    <col min="8" max="8" width="10.28125" style="1" customWidth="1"/>
    <col min="9" max="9" width="5.28125" style="1" customWidth="1"/>
    <col min="10" max="10" width="13.140625" style="1" customWidth="1"/>
    <col min="11" max="11" width="4.140625" style="1" customWidth="1"/>
    <col min="12" max="12" width="11.8515625" style="1" customWidth="1"/>
    <col min="13" max="13" width="4.140625" style="1" customWidth="1"/>
    <col min="14" max="14" width="11.8515625" style="1" customWidth="1"/>
    <col min="15" max="15" width="3.8515625" style="1" customWidth="1"/>
    <col min="16" max="16" width="11.8515625" style="1" customWidth="1"/>
    <col min="17" max="17" width="3.8515625" style="1" customWidth="1"/>
    <col min="18" max="18" width="11.8515625" style="1" customWidth="1"/>
    <col min="19" max="19" width="3.7109375" style="1" customWidth="1"/>
    <col min="20" max="20" width="11.8515625" style="1" customWidth="1"/>
    <col min="21" max="21" width="18.28125" style="1" customWidth="1"/>
    <col min="22" max="24" width="11.8515625" style="1" customWidth="1"/>
    <col min="25" max="25" width="6.7109375" style="1" customWidth="1"/>
    <col min="26" max="16384" width="11.421875" style="1" customWidth="1"/>
  </cols>
  <sheetData>
    <row r="1" spans="2:3" ht="12.75">
      <c r="B1" s="8" t="s">
        <v>126</v>
      </c>
      <c r="C1" s="8"/>
    </row>
    <row r="2" ht="12" customHeight="1"/>
    <row r="3" spans="4:25" ht="12.75">
      <c r="D3" s="1" t="s">
        <v>44</v>
      </c>
      <c r="Y3" s="2"/>
    </row>
    <row r="4" ht="12.75">
      <c r="Y4" s="2"/>
    </row>
    <row r="5" spans="1:20" ht="12.75">
      <c r="A5" s="1" t="s">
        <v>168</v>
      </c>
      <c r="B5" s="8" t="s">
        <v>62</v>
      </c>
      <c r="C5" s="8"/>
      <c r="F5" s="1" t="s">
        <v>175</v>
      </c>
      <c r="H5" s="1" t="s">
        <v>176</v>
      </c>
      <c r="J5" s="1" t="s">
        <v>177</v>
      </c>
      <c r="L5" s="1" t="s">
        <v>46</v>
      </c>
      <c r="N5" s="1" t="s">
        <v>175</v>
      </c>
      <c r="P5" s="1" t="s">
        <v>176</v>
      </c>
      <c r="R5" s="1" t="s">
        <v>177</v>
      </c>
      <c r="T5" s="1" t="s">
        <v>46</v>
      </c>
    </row>
    <row r="6" spans="2:3" ht="12.75">
      <c r="B6" s="8"/>
      <c r="C6" s="8"/>
    </row>
    <row r="7" spans="2:20" ht="12.75">
      <c r="B7" s="33" t="s">
        <v>182</v>
      </c>
      <c r="C7" s="8"/>
      <c r="F7" s="1" t="s">
        <v>201</v>
      </c>
      <c r="H7" s="1" t="s">
        <v>201</v>
      </c>
      <c r="J7" s="1" t="s">
        <v>201</v>
      </c>
      <c r="L7" s="1" t="s">
        <v>201</v>
      </c>
      <c r="N7" s="1" t="s">
        <v>202</v>
      </c>
      <c r="P7" s="1" t="s">
        <v>202</v>
      </c>
      <c r="R7" s="1" t="s">
        <v>202</v>
      </c>
      <c r="T7" s="1" t="s">
        <v>202</v>
      </c>
    </row>
    <row r="8" spans="2:20" ht="12.75">
      <c r="B8" s="33" t="s">
        <v>183</v>
      </c>
      <c r="F8" s="1" t="s">
        <v>184</v>
      </c>
      <c r="H8" s="1" t="s">
        <v>184</v>
      </c>
      <c r="J8" s="1" t="s">
        <v>184</v>
      </c>
      <c r="L8" s="1" t="s">
        <v>184</v>
      </c>
      <c r="N8" s="1" t="s">
        <v>77</v>
      </c>
      <c r="P8" s="1" t="s">
        <v>77</v>
      </c>
      <c r="R8" s="1" t="s">
        <v>77</v>
      </c>
      <c r="T8" s="1" t="s">
        <v>77</v>
      </c>
    </row>
    <row r="9" spans="2:20" ht="12.75">
      <c r="B9" s="33" t="s">
        <v>203</v>
      </c>
      <c r="F9" s="1" t="s">
        <v>1</v>
      </c>
      <c r="H9" s="1" t="s">
        <v>1</v>
      </c>
      <c r="J9" s="1" t="s">
        <v>1</v>
      </c>
      <c r="L9" s="1" t="s">
        <v>1</v>
      </c>
      <c r="N9" s="1" t="s">
        <v>77</v>
      </c>
      <c r="P9" s="1" t="s">
        <v>77</v>
      </c>
      <c r="R9" s="1" t="s">
        <v>77</v>
      </c>
      <c r="T9" s="1" t="s">
        <v>77</v>
      </c>
    </row>
    <row r="10" spans="2:20" ht="12.75">
      <c r="B10" s="1" t="s">
        <v>172</v>
      </c>
      <c r="F10" s="1" t="s">
        <v>55</v>
      </c>
      <c r="H10" s="1" t="s">
        <v>55</v>
      </c>
      <c r="J10" s="1" t="s">
        <v>55</v>
      </c>
      <c r="L10" s="1" t="s">
        <v>55</v>
      </c>
      <c r="N10" s="1" t="s">
        <v>77</v>
      </c>
      <c r="P10" s="1" t="s">
        <v>77</v>
      </c>
      <c r="R10" s="1" t="s">
        <v>77</v>
      </c>
      <c r="T10" s="1" t="s">
        <v>77</v>
      </c>
    </row>
    <row r="11" spans="2:12" ht="12.75">
      <c r="B11" s="1" t="s">
        <v>171</v>
      </c>
      <c r="D11" s="1" t="s">
        <v>56</v>
      </c>
      <c r="F11" s="1">
        <v>3349.2</v>
      </c>
      <c r="H11" s="1">
        <v>3349.8</v>
      </c>
      <c r="J11" s="1">
        <v>3349.6</v>
      </c>
      <c r="L11" s="1">
        <v>3350</v>
      </c>
    </row>
    <row r="12" spans="2:12" ht="12.75">
      <c r="B12" s="1" t="s">
        <v>57</v>
      </c>
      <c r="D12" s="1" t="s">
        <v>58</v>
      </c>
      <c r="F12" s="1">
        <v>6300</v>
      </c>
      <c r="H12" s="1">
        <v>6400</v>
      </c>
      <c r="J12" s="1">
        <v>6400</v>
      </c>
      <c r="L12" s="1">
        <v>6400</v>
      </c>
    </row>
    <row r="13" spans="2:21" ht="12.75">
      <c r="B13" s="1" t="s">
        <v>8</v>
      </c>
      <c r="D13" s="1" t="s">
        <v>56</v>
      </c>
      <c r="F13" s="1">
        <v>15</v>
      </c>
      <c r="H13" s="1">
        <v>15</v>
      </c>
      <c r="J13" s="1">
        <v>14.93</v>
      </c>
      <c r="L13" s="1">
        <v>15</v>
      </c>
      <c r="U13" s="1" t="s">
        <v>63</v>
      </c>
    </row>
    <row r="14" spans="2:21" ht="12.75">
      <c r="B14" s="1" t="s">
        <v>59</v>
      </c>
      <c r="D14" s="1" t="s">
        <v>56</v>
      </c>
      <c r="F14" s="1">
        <v>2123.7</v>
      </c>
      <c r="H14" s="1">
        <v>1990.1</v>
      </c>
      <c r="J14" s="1">
        <v>2290.8</v>
      </c>
      <c r="L14" s="1">
        <v>2000</v>
      </c>
      <c r="U14" s="1" t="s">
        <v>135</v>
      </c>
    </row>
    <row r="15" spans="2:21" ht="12.75">
      <c r="B15" s="1" t="s">
        <v>200</v>
      </c>
      <c r="D15" s="1" t="s">
        <v>56</v>
      </c>
      <c r="F15" s="1">
        <v>0.259</v>
      </c>
      <c r="H15" s="1">
        <v>0.256</v>
      </c>
      <c r="J15" s="1">
        <v>0.262</v>
      </c>
      <c r="L15" s="1">
        <v>0.026</v>
      </c>
      <c r="U15" s="1" t="s">
        <v>64</v>
      </c>
    </row>
    <row r="17" spans="2:12" ht="12.75">
      <c r="B17" s="1" t="s">
        <v>61</v>
      </c>
      <c r="D17" s="1" t="s">
        <v>13</v>
      </c>
      <c r="F17" s="1">
        <f>emiss!G24</f>
        <v>5688</v>
      </c>
      <c r="H17" s="1">
        <f>emiss!I24</f>
        <v>5852</v>
      </c>
      <c r="J17" s="1">
        <f>emiss!K24</f>
        <v>5701</v>
      </c>
      <c r="L17" s="1">
        <f>emiss!M24</f>
        <v>5747</v>
      </c>
    </row>
    <row r="18" spans="2:12" ht="12.75">
      <c r="B18" s="1" t="s">
        <v>115</v>
      </c>
      <c r="D18" s="1" t="s">
        <v>14</v>
      </c>
      <c r="F18" s="1">
        <f>emiss!G25</f>
        <v>7.2</v>
      </c>
      <c r="H18" s="1">
        <f>emiss!I25</f>
        <v>8.3</v>
      </c>
      <c r="J18" s="1">
        <f>emiss!K25</f>
        <v>7.9</v>
      </c>
      <c r="L18" s="1">
        <f>emiss!M25</f>
        <v>7.800000000000001</v>
      </c>
    </row>
    <row r="20" spans="2:20" ht="12.75">
      <c r="B20" s="1" t="s">
        <v>169</v>
      </c>
      <c r="D20" s="1" t="s">
        <v>117</v>
      </c>
      <c r="F20" s="1">
        <f>F11*F12/1000000</f>
        <v>21.09996</v>
      </c>
      <c r="H20" s="1">
        <f>H11*H12/1000000</f>
        <v>21.43872</v>
      </c>
      <c r="J20" s="1">
        <f>J11*J12/1000000</f>
        <v>21.43744</v>
      </c>
      <c r="L20" s="1">
        <f>L11*L12/1000000</f>
        <v>21.44</v>
      </c>
      <c r="N20" s="1">
        <f>F20</f>
        <v>21.09996</v>
      </c>
      <c r="P20" s="1">
        <f>H20</f>
        <v>21.43872</v>
      </c>
      <c r="R20" s="1">
        <f>J20</f>
        <v>21.43744</v>
      </c>
      <c r="T20" s="1">
        <f>L20</f>
        <v>21.44</v>
      </c>
    </row>
    <row r="21" spans="2:24" ht="12.75">
      <c r="B21" s="1" t="s">
        <v>116</v>
      </c>
      <c r="D21" s="1" t="s">
        <v>117</v>
      </c>
      <c r="M21" s="6"/>
      <c r="N21" s="6">
        <f>F17/9000*(21-F18)/21*60</f>
        <v>24.918857142857146</v>
      </c>
      <c r="P21" s="6">
        <f>H17/9000*(21-H18)/21*60</f>
        <v>23.593777777777774</v>
      </c>
      <c r="R21" s="6">
        <f>J17/9000*(21-J18)/21*60</f>
        <v>23.708920634920634</v>
      </c>
      <c r="T21" s="6">
        <f>L17/9000*(21-L18)/21*60</f>
        <v>24.082666666666668</v>
      </c>
      <c r="V21" s="6"/>
      <c r="W21" s="6"/>
      <c r="X21" s="6"/>
    </row>
    <row r="22" spans="6:24" ht="12.75">
      <c r="F22" s="6"/>
      <c r="H22" s="6"/>
      <c r="J22" s="6"/>
      <c r="L22" s="6"/>
      <c r="M22" s="6"/>
      <c r="N22" s="6"/>
      <c r="O22" s="6"/>
      <c r="P22" s="6"/>
      <c r="Q22" s="6"/>
      <c r="R22" s="6"/>
      <c r="S22" s="6"/>
      <c r="T22" s="6"/>
      <c r="V22" s="6"/>
      <c r="W22" s="6"/>
      <c r="X22" s="6"/>
    </row>
    <row r="23" spans="2:24" ht="12.75">
      <c r="B23" s="27" t="s">
        <v>134</v>
      </c>
      <c r="C23" s="27"/>
      <c r="F23" s="6"/>
      <c r="H23" s="6"/>
      <c r="J23" s="6"/>
      <c r="L23" s="6"/>
      <c r="M23" s="6"/>
      <c r="N23" s="6"/>
      <c r="O23" s="6"/>
      <c r="P23" s="6"/>
      <c r="Q23" s="6"/>
      <c r="R23" s="6"/>
      <c r="S23" s="6"/>
      <c r="T23" s="6"/>
      <c r="V23" s="6"/>
      <c r="W23" s="6"/>
      <c r="X23" s="6"/>
    </row>
    <row r="24" spans="2:24" ht="12.75">
      <c r="B24" s="27"/>
      <c r="C24" s="27"/>
      <c r="F24" s="6"/>
      <c r="H24" s="6"/>
      <c r="J24" s="6"/>
      <c r="L24" s="6"/>
      <c r="M24" s="6"/>
      <c r="N24" s="6"/>
      <c r="O24" s="6"/>
      <c r="P24" s="6"/>
      <c r="Q24" s="6"/>
      <c r="R24" s="6"/>
      <c r="S24" s="6"/>
      <c r="T24" s="6"/>
      <c r="V24" s="6"/>
      <c r="W24" s="6"/>
      <c r="X24" s="6"/>
    </row>
    <row r="25" spans="2:24" ht="12.75">
      <c r="B25" s="1" t="s">
        <v>8</v>
      </c>
      <c r="D25" s="1" t="s">
        <v>12</v>
      </c>
      <c r="F25" s="4">
        <f>F13*454/F17/60/0.0283*1000*(21-7)/(21-F18)</f>
        <v>715.3173970881099</v>
      </c>
      <c r="H25" s="4">
        <f>H13*454/H17/60/0.0283*1000*(21-7)/(21-H18)</f>
        <v>755.491223055755</v>
      </c>
      <c r="J25" s="4">
        <f>J13*454/J17/60/0.0283*1000*(21-7)/(21-J18)</f>
        <v>748.313661071304</v>
      </c>
      <c r="L25" s="4">
        <f>AVERAGE(J25,H25,F25)</f>
        <v>739.7074270717229</v>
      </c>
      <c r="M25" s="4"/>
      <c r="N25" s="4">
        <f>F25</f>
        <v>715.3173970881099</v>
      </c>
      <c r="O25" s="4"/>
      <c r="P25" s="4">
        <f>H25</f>
        <v>755.491223055755</v>
      </c>
      <c r="Q25" s="4"/>
      <c r="R25" s="4">
        <f>J25</f>
        <v>748.313661071304</v>
      </c>
      <c r="S25" s="4"/>
      <c r="T25" s="4">
        <f>L25</f>
        <v>739.7074270717229</v>
      </c>
      <c r="U25" s="1" t="s">
        <v>64</v>
      </c>
      <c r="V25" s="4"/>
      <c r="W25" s="4"/>
      <c r="X25" s="4"/>
    </row>
    <row r="26" spans="2:24" ht="12.75">
      <c r="B26" s="1" t="s">
        <v>59</v>
      </c>
      <c r="D26" s="1" t="s">
        <v>114</v>
      </c>
      <c r="F26" s="7">
        <f>F14*454/F17/60/0.0283*1000000*(21-7)/(21-F18)</f>
        <v>101274637.0797346</v>
      </c>
      <c r="H26" s="7">
        <f>H14*454/H17/60/0.0283*1000000*(21-7)/(21-H18)</f>
        <v>100233538.86688387</v>
      </c>
      <c r="J26" s="7">
        <f>J14*454/J17/60/0.0283*1000000*(21-7)/(21-J18)</f>
        <v>114818280.96330495</v>
      </c>
      <c r="L26" s="4">
        <f>AVERAGE(J26,H26,F26)</f>
        <v>105442152.30330782</v>
      </c>
      <c r="M26" s="4"/>
      <c r="N26" s="4">
        <f aca="true" t="shared" si="0" ref="N26:T27">F26</f>
        <v>101274637.0797346</v>
      </c>
      <c r="O26" s="4"/>
      <c r="P26" s="4">
        <f t="shared" si="0"/>
        <v>100233538.86688387</v>
      </c>
      <c r="Q26" s="4"/>
      <c r="R26" s="4">
        <f t="shared" si="0"/>
        <v>114818280.96330495</v>
      </c>
      <c r="S26" s="4"/>
      <c r="T26" s="4">
        <f t="shared" si="0"/>
        <v>105442152.30330782</v>
      </c>
      <c r="V26" s="4"/>
      <c r="W26" s="4"/>
      <c r="X26" s="7"/>
    </row>
    <row r="27" spans="2:24" ht="12.75">
      <c r="B27" s="1" t="s">
        <v>200</v>
      </c>
      <c r="D27" s="1" t="s">
        <v>114</v>
      </c>
      <c r="F27" s="7">
        <f>F15*454/F17/60/0.0283*1000000*(21-7)/(21-F18)</f>
        <v>12351.14705638803</v>
      </c>
      <c r="H27" s="7">
        <f>H15*454/H17/60/0.0283*1000000*(21-7)/(21-H18)</f>
        <v>12893.716873484887</v>
      </c>
      <c r="J27" s="7">
        <f>J15*454/J17/60/0.0283*1000000*(21-7)/(21-J18)</f>
        <v>13131.827140032263</v>
      </c>
      <c r="L27" s="4">
        <f>AVERAGE(J27,H27,F27)</f>
        <v>12792.23035663506</v>
      </c>
      <c r="M27" s="4"/>
      <c r="N27" s="4">
        <f t="shared" si="0"/>
        <v>12351.14705638803</v>
      </c>
      <c r="O27" s="4"/>
      <c r="P27" s="4">
        <f t="shared" si="0"/>
        <v>12893.716873484887</v>
      </c>
      <c r="Q27" s="4"/>
      <c r="R27" s="4">
        <f t="shared" si="0"/>
        <v>13131.827140032263</v>
      </c>
      <c r="S27" s="4"/>
      <c r="T27" s="4">
        <f t="shared" si="0"/>
        <v>12792.23035663506</v>
      </c>
      <c r="U27" s="1" t="s">
        <v>64</v>
      </c>
      <c r="V27" s="4"/>
      <c r="W27" s="4"/>
      <c r="X27" s="7"/>
    </row>
    <row r="29" spans="1:20" ht="12.75">
      <c r="A29" s="1" t="s">
        <v>168</v>
      </c>
      <c r="B29" s="8" t="s">
        <v>65</v>
      </c>
      <c r="C29" s="8"/>
      <c r="F29" s="1" t="s">
        <v>175</v>
      </c>
      <c r="H29" s="1" t="s">
        <v>176</v>
      </c>
      <c r="J29" s="1" t="s">
        <v>177</v>
      </c>
      <c r="L29" s="1" t="s">
        <v>46</v>
      </c>
      <c r="N29" s="1" t="s">
        <v>175</v>
      </c>
      <c r="P29" s="1" t="s">
        <v>176</v>
      </c>
      <c r="R29" s="1" t="s">
        <v>177</v>
      </c>
      <c r="T29" s="1" t="s">
        <v>46</v>
      </c>
    </row>
    <row r="30" spans="2:3" ht="12.75">
      <c r="B30" s="8"/>
      <c r="C30" s="8"/>
    </row>
    <row r="31" spans="2:20" ht="12.75">
      <c r="B31" s="33" t="s">
        <v>182</v>
      </c>
      <c r="C31" s="8"/>
      <c r="F31" s="1" t="s">
        <v>201</v>
      </c>
      <c r="H31" s="1" t="s">
        <v>201</v>
      </c>
      <c r="J31" s="1" t="s">
        <v>201</v>
      </c>
      <c r="L31" s="1" t="s">
        <v>201</v>
      </c>
      <c r="N31" s="1" t="s">
        <v>202</v>
      </c>
      <c r="P31" s="1" t="s">
        <v>202</v>
      </c>
      <c r="R31" s="1" t="s">
        <v>202</v>
      </c>
      <c r="T31" s="1" t="s">
        <v>202</v>
      </c>
    </row>
    <row r="32" spans="2:20" ht="12.75">
      <c r="B32" s="33" t="s">
        <v>183</v>
      </c>
      <c r="F32" s="1" t="s">
        <v>184</v>
      </c>
      <c r="H32" s="1" t="s">
        <v>184</v>
      </c>
      <c r="J32" s="1" t="s">
        <v>184</v>
      </c>
      <c r="L32" s="1" t="s">
        <v>184</v>
      </c>
      <c r="N32" s="1" t="s">
        <v>77</v>
      </c>
      <c r="P32" s="1" t="s">
        <v>77</v>
      </c>
      <c r="R32" s="1" t="s">
        <v>77</v>
      </c>
      <c r="T32" s="1" t="s">
        <v>77</v>
      </c>
    </row>
    <row r="33" spans="2:20" ht="12.75">
      <c r="B33" s="33" t="s">
        <v>203</v>
      </c>
      <c r="F33" s="1" t="s">
        <v>1</v>
      </c>
      <c r="H33" s="1" t="s">
        <v>1</v>
      </c>
      <c r="J33" s="1" t="s">
        <v>1</v>
      </c>
      <c r="L33" s="1" t="s">
        <v>1</v>
      </c>
      <c r="N33" s="1" t="s">
        <v>77</v>
      </c>
      <c r="P33" s="1" t="s">
        <v>77</v>
      </c>
      <c r="R33" s="1" t="s">
        <v>77</v>
      </c>
      <c r="T33" s="1" t="s">
        <v>77</v>
      </c>
    </row>
    <row r="34" spans="2:20" ht="12.75">
      <c r="B34" s="1" t="s">
        <v>172</v>
      </c>
      <c r="F34" s="1" t="s">
        <v>55</v>
      </c>
      <c r="H34" s="1" t="s">
        <v>55</v>
      </c>
      <c r="J34" s="1" t="s">
        <v>55</v>
      </c>
      <c r="L34" s="1" t="s">
        <v>55</v>
      </c>
      <c r="N34" s="1" t="s">
        <v>77</v>
      </c>
      <c r="P34" s="1" t="s">
        <v>77</v>
      </c>
      <c r="R34" s="1" t="s">
        <v>77</v>
      </c>
      <c r="T34" s="1" t="s">
        <v>77</v>
      </c>
    </row>
    <row r="35" spans="2:12" ht="12.75">
      <c r="B35" s="1" t="s">
        <v>171</v>
      </c>
      <c r="D35" s="1" t="s">
        <v>56</v>
      </c>
      <c r="F35" s="1">
        <v>3198.5</v>
      </c>
      <c r="H35" s="1">
        <v>3195.6</v>
      </c>
      <c r="J35" s="1">
        <v>3199.8</v>
      </c>
      <c r="L35" s="1">
        <v>3200</v>
      </c>
    </row>
    <row r="36" spans="2:12" ht="12.75">
      <c r="B36" s="1" t="s">
        <v>57</v>
      </c>
      <c r="D36" s="1" t="s">
        <v>58</v>
      </c>
      <c r="F36" s="1">
        <v>6300</v>
      </c>
      <c r="H36" s="1">
        <v>6300</v>
      </c>
      <c r="J36" s="1">
        <v>6400</v>
      </c>
      <c r="L36" s="1">
        <v>6350</v>
      </c>
    </row>
    <row r="37" spans="2:21" ht="12.75">
      <c r="B37" s="1" t="s">
        <v>8</v>
      </c>
      <c r="D37" s="1" t="s">
        <v>56</v>
      </c>
      <c r="E37" s="1" t="s">
        <v>49</v>
      </c>
      <c r="F37" s="1">
        <v>0.32</v>
      </c>
      <c r="G37" s="1" t="s">
        <v>49</v>
      </c>
      <c r="H37" s="1">
        <v>0.32</v>
      </c>
      <c r="I37" s="1" t="s">
        <v>49</v>
      </c>
      <c r="J37" s="1">
        <v>0.32</v>
      </c>
      <c r="L37" s="1">
        <v>0.32</v>
      </c>
      <c r="U37" s="1" t="s">
        <v>66</v>
      </c>
    </row>
    <row r="38" spans="2:21" ht="12.75">
      <c r="B38" s="1" t="s">
        <v>59</v>
      </c>
      <c r="D38" s="1" t="s">
        <v>56</v>
      </c>
      <c r="F38" s="1">
        <v>2030.9</v>
      </c>
      <c r="H38" s="1">
        <v>1965</v>
      </c>
      <c r="J38" s="1">
        <v>2095.7</v>
      </c>
      <c r="L38" s="1">
        <v>2000</v>
      </c>
      <c r="U38" s="1" t="s">
        <v>135</v>
      </c>
    </row>
    <row r="40" spans="2:24" ht="12.75">
      <c r="B40" s="1" t="s">
        <v>61</v>
      </c>
      <c r="D40" s="1" t="s">
        <v>13</v>
      </c>
      <c r="F40" s="1">
        <f>emiss!G52</f>
        <v>5936</v>
      </c>
      <c r="H40" s="1">
        <f>emiss!I52</f>
        <v>6108</v>
      </c>
      <c r="J40" s="1">
        <f>emiss!K52</f>
        <v>5946</v>
      </c>
      <c r="L40" s="4">
        <f>emiss!M52</f>
        <v>5996.666666666667</v>
      </c>
      <c r="M40" s="4"/>
      <c r="N40" s="4"/>
      <c r="O40" s="4"/>
      <c r="P40" s="4"/>
      <c r="Q40" s="4"/>
      <c r="R40" s="4"/>
      <c r="S40" s="4"/>
      <c r="T40" s="4"/>
      <c r="V40" s="4"/>
      <c r="W40" s="4"/>
      <c r="X40" s="7"/>
    </row>
    <row r="41" spans="2:24" ht="12.75">
      <c r="B41" s="1" t="s">
        <v>115</v>
      </c>
      <c r="D41" s="1" t="s">
        <v>14</v>
      </c>
      <c r="F41" s="1">
        <f>emiss!G53</f>
        <v>8.2</v>
      </c>
      <c r="H41" s="1">
        <f>emiss!I53</f>
        <v>8.1</v>
      </c>
      <c r="J41" s="1">
        <f>emiss!K53</f>
        <v>7.9</v>
      </c>
      <c r="L41" s="4">
        <f>emiss!M53</f>
        <v>8.066666666666666</v>
      </c>
      <c r="M41" s="4"/>
      <c r="N41" s="4"/>
      <c r="O41" s="4"/>
      <c r="P41" s="4"/>
      <c r="Q41" s="4"/>
      <c r="R41" s="4"/>
      <c r="S41" s="4"/>
      <c r="T41" s="4"/>
      <c r="V41" s="4"/>
      <c r="W41" s="4"/>
      <c r="X41" s="4"/>
    </row>
    <row r="43" spans="2:20" ht="12.75">
      <c r="B43" s="1" t="s">
        <v>169</v>
      </c>
      <c r="D43" s="1" t="s">
        <v>117</v>
      </c>
      <c r="F43" s="1">
        <f>F35*F36/1000000</f>
        <v>20.15055</v>
      </c>
      <c r="H43" s="1">
        <f>H35*H36/1000000</f>
        <v>20.13228</v>
      </c>
      <c r="J43" s="1">
        <f>J35*J36/1000000</f>
        <v>20.47872</v>
      </c>
      <c r="L43" s="1">
        <f>L35*L36/1000000</f>
        <v>20.32</v>
      </c>
      <c r="N43" s="1">
        <f>F43</f>
        <v>20.15055</v>
      </c>
      <c r="P43" s="1">
        <f>H43</f>
        <v>20.13228</v>
      </c>
      <c r="R43" s="1">
        <f>J43</f>
        <v>20.47872</v>
      </c>
      <c r="T43" s="1">
        <f>L43</f>
        <v>20.32</v>
      </c>
    </row>
    <row r="44" spans="2:24" ht="12.75">
      <c r="B44" s="1" t="s">
        <v>116</v>
      </c>
      <c r="D44" s="1" t="s">
        <v>117</v>
      </c>
      <c r="M44" s="6"/>
      <c r="N44" s="6">
        <f>F40/9000*(21-F41)/21*60</f>
        <v>24.12088888888889</v>
      </c>
      <c r="P44" s="6">
        <f>H40/9000*(21-H41)/21*60</f>
        <v>25.013714285714286</v>
      </c>
      <c r="R44" s="6">
        <f>J40/9000*(21-J41)/21*60</f>
        <v>24.72780952380952</v>
      </c>
      <c r="T44" s="6">
        <f>L40/9000*(21-L41)/21*60</f>
        <v>24.621234567901237</v>
      </c>
      <c r="V44" s="6"/>
      <c r="W44" s="6"/>
      <c r="X44" s="6"/>
    </row>
    <row r="45" spans="6:24" ht="12.75">
      <c r="F45" s="6"/>
      <c r="H45" s="6"/>
      <c r="J45" s="6"/>
      <c r="L45" s="6"/>
      <c r="M45" s="6"/>
      <c r="N45" s="6"/>
      <c r="O45" s="6"/>
      <c r="P45" s="6"/>
      <c r="Q45" s="6"/>
      <c r="R45" s="6"/>
      <c r="S45" s="6"/>
      <c r="T45" s="6"/>
      <c r="V45" s="6"/>
      <c r="W45" s="6"/>
      <c r="X45" s="6"/>
    </row>
    <row r="46" spans="2:24" ht="12.75">
      <c r="B46" s="27" t="s">
        <v>134</v>
      </c>
      <c r="C46" s="27"/>
      <c r="F46" s="6"/>
      <c r="H46" s="6"/>
      <c r="J46" s="6"/>
      <c r="L46" s="6"/>
      <c r="M46" s="6"/>
      <c r="N46" s="6"/>
      <c r="O46" s="6"/>
      <c r="P46" s="6"/>
      <c r="Q46" s="6"/>
      <c r="R46" s="6"/>
      <c r="S46" s="6"/>
      <c r="T46" s="6"/>
      <c r="V46" s="6"/>
      <c r="W46" s="6"/>
      <c r="X46" s="6"/>
    </row>
    <row r="47" spans="2:24" ht="12.75">
      <c r="B47" s="27"/>
      <c r="C47" s="27"/>
      <c r="F47" s="6"/>
      <c r="H47" s="6"/>
      <c r="J47" s="6"/>
      <c r="L47" s="6"/>
      <c r="M47" s="6"/>
      <c r="N47" s="6"/>
      <c r="O47" s="6"/>
      <c r="P47" s="6"/>
      <c r="Q47" s="6"/>
      <c r="R47" s="6"/>
      <c r="S47" s="6"/>
      <c r="T47" s="6"/>
      <c r="V47" s="6"/>
      <c r="W47" s="6"/>
      <c r="X47" s="6"/>
    </row>
    <row r="48" spans="2:24" ht="12.75">
      <c r="B48" s="1" t="s">
        <v>8</v>
      </c>
      <c r="D48" s="1" t="s">
        <v>12</v>
      </c>
      <c r="E48" s="1">
        <v>100</v>
      </c>
      <c r="F48" s="6">
        <f>F37*454/F40/60/0.0283*1000*(21-7)/(21-F41)</f>
        <v>15.764939884881217</v>
      </c>
      <c r="G48" s="1">
        <v>100</v>
      </c>
      <c r="H48" s="6">
        <f>H37*454/H40/60/0.0283*1000*(21-7)/(21-H41)</f>
        <v>15.202235020346714</v>
      </c>
      <c r="I48" s="1">
        <v>100</v>
      </c>
      <c r="J48" s="6">
        <f>J37*454/J40/60/0.0283*1000*(21-7)/(21-J41)</f>
        <v>15.378004385592247</v>
      </c>
      <c r="K48" s="1">
        <v>100</v>
      </c>
      <c r="L48" s="4">
        <f>AVERAGE(J48,H48,F48)</f>
        <v>15.448393096940059</v>
      </c>
      <c r="M48" s="7">
        <v>100</v>
      </c>
      <c r="N48" s="4">
        <f>F48</f>
        <v>15.764939884881217</v>
      </c>
      <c r="O48" s="7">
        <v>100</v>
      </c>
      <c r="P48" s="4">
        <f>H48</f>
        <v>15.202235020346714</v>
      </c>
      <c r="Q48" s="7">
        <v>100</v>
      </c>
      <c r="R48" s="4">
        <f>J48</f>
        <v>15.378004385592247</v>
      </c>
      <c r="S48" s="7">
        <v>100</v>
      </c>
      <c r="T48" s="4">
        <f>L48</f>
        <v>15.448393096940059</v>
      </c>
      <c r="U48" s="1" t="s">
        <v>118</v>
      </c>
      <c r="V48" s="4"/>
      <c r="W48" s="4"/>
      <c r="X48" s="6"/>
    </row>
    <row r="49" spans="2:24" ht="12.75">
      <c r="B49" s="1" t="s">
        <v>59</v>
      </c>
      <c r="D49" s="1" t="s">
        <v>114</v>
      </c>
      <c r="F49" s="7">
        <f>F38*454/F40/60/0.0283*1000000*(21-7)/(21-F41)</f>
        <v>100053176.28814146</v>
      </c>
      <c r="H49" s="7">
        <f>H38*454/H40/60/0.0283*1000000*(21-7)/(21-H41)</f>
        <v>93351224.42181651</v>
      </c>
      <c r="J49" s="7">
        <f>J38*454/J40/60/0.0283*1000000*(21-7)/(21-J41)</f>
        <v>100711511.84651771</v>
      </c>
      <c r="L49" s="4">
        <f>AVERAGE(J49,H49,F49)</f>
        <v>98038637.51882522</v>
      </c>
      <c r="M49" s="4"/>
      <c r="N49" s="4">
        <f>F49/2</f>
        <v>50026588.14407073</v>
      </c>
      <c r="O49" s="4"/>
      <c r="P49" s="4">
        <f>H49/2</f>
        <v>46675612.21090826</v>
      </c>
      <c r="Q49" s="4"/>
      <c r="R49" s="4">
        <f>J49/2</f>
        <v>50355755.923258856</v>
      </c>
      <c r="S49" s="4"/>
      <c r="T49" s="4">
        <f>L49/2</f>
        <v>49019318.75941261</v>
      </c>
      <c r="V49" s="4"/>
      <c r="W49" s="4"/>
      <c r="X49" s="7"/>
    </row>
    <row r="51" spans="1:25" ht="12.75">
      <c r="A51" s="1" t="s">
        <v>168</v>
      </c>
      <c r="B51" s="8" t="s">
        <v>54</v>
      </c>
      <c r="C51" s="8"/>
      <c r="F51" s="1" t="s">
        <v>175</v>
      </c>
      <c r="H51" s="1" t="s">
        <v>176</v>
      </c>
      <c r="J51" s="1" t="s">
        <v>177</v>
      </c>
      <c r="L51" s="1" t="s">
        <v>46</v>
      </c>
      <c r="N51" s="1" t="s">
        <v>175</v>
      </c>
      <c r="P51" s="1" t="s">
        <v>176</v>
      </c>
      <c r="R51" s="1" t="s">
        <v>177</v>
      </c>
      <c r="T51" s="1" t="s">
        <v>46</v>
      </c>
      <c r="Y51" s="2"/>
    </row>
    <row r="52" spans="2:25" ht="12.75">
      <c r="B52" s="8"/>
      <c r="C52" s="8"/>
      <c r="Y52" s="2"/>
    </row>
    <row r="53" spans="2:20" ht="12.75">
      <c r="B53" s="33" t="s">
        <v>182</v>
      </c>
      <c r="C53" s="8"/>
      <c r="F53" s="1" t="s">
        <v>201</v>
      </c>
      <c r="H53" s="1" t="s">
        <v>201</v>
      </c>
      <c r="J53" s="1" t="s">
        <v>201</v>
      </c>
      <c r="L53" s="1" t="s">
        <v>201</v>
      </c>
      <c r="N53" s="1" t="s">
        <v>202</v>
      </c>
      <c r="P53" s="1" t="s">
        <v>202</v>
      </c>
      <c r="R53" s="1" t="s">
        <v>202</v>
      </c>
      <c r="T53" s="1" t="s">
        <v>202</v>
      </c>
    </row>
    <row r="54" spans="2:20" ht="12.75">
      <c r="B54" s="33" t="s">
        <v>183</v>
      </c>
      <c r="F54" s="1" t="s">
        <v>184</v>
      </c>
      <c r="H54" s="1" t="s">
        <v>184</v>
      </c>
      <c r="J54" s="1" t="s">
        <v>184</v>
      </c>
      <c r="L54" s="1" t="s">
        <v>184</v>
      </c>
      <c r="N54" s="1" t="s">
        <v>77</v>
      </c>
      <c r="P54" s="1" t="s">
        <v>77</v>
      </c>
      <c r="R54" s="1" t="s">
        <v>77</v>
      </c>
      <c r="T54" s="1" t="s">
        <v>77</v>
      </c>
    </row>
    <row r="55" spans="2:20" ht="12.75">
      <c r="B55" s="33" t="s">
        <v>203</v>
      </c>
      <c r="F55" s="1" t="s">
        <v>1</v>
      </c>
      <c r="H55" s="1" t="s">
        <v>1</v>
      </c>
      <c r="J55" s="1" t="s">
        <v>1</v>
      </c>
      <c r="L55" s="1" t="s">
        <v>1</v>
      </c>
      <c r="N55" s="1" t="s">
        <v>77</v>
      </c>
      <c r="P55" s="1" t="s">
        <v>77</v>
      </c>
      <c r="R55" s="1" t="s">
        <v>77</v>
      </c>
      <c r="T55" s="1" t="s">
        <v>77</v>
      </c>
    </row>
    <row r="56" spans="2:20" ht="12.75">
      <c r="B56" s="1" t="s">
        <v>172</v>
      </c>
      <c r="F56" s="1" t="s">
        <v>55</v>
      </c>
      <c r="H56" s="1" t="s">
        <v>55</v>
      </c>
      <c r="J56" s="1" t="s">
        <v>55</v>
      </c>
      <c r="L56" s="1" t="s">
        <v>55</v>
      </c>
      <c r="N56" s="1" t="s">
        <v>77</v>
      </c>
      <c r="P56" s="1" t="s">
        <v>77</v>
      </c>
      <c r="R56" s="1" t="s">
        <v>77</v>
      </c>
      <c r="T56" s="1" t="s">
        <v>77</v>
      </c>
    </row>
    <row r="57" spans="2:12" ht="12.75">
      <c r="B57" s="1" t="s">
        <v>171</v>
      </c>
      <c r="D57" s="1" t="s">
        <v>56</v>
      </c>
      <c r="F57" s="1">
        <v>2119.5</v>
      </c>
      <c r="H57" s="1">
        <v>2119.2</v>
      </c>
      <c r="J57" s="1">
        <v>2119.4</v>
      </c>
      <c r="L57" s="1">
        <v>2200</v>
      </c>
    </row>
    <row r="58" spans="2:12" ht="12.75">
      <c r="B58" s="1" t="s">
        <v>57</v>
      </c>
      <c r="D58" s="1" t="s">
        <v>58</v>
      </c>
      <c r="F58" s="1">
        <v>6300</v>
      </c>
      <c r="H58" s="1">
        <v>6700</v>
      </c>
      <c r="J58" s="1">
        <v>6400</v>
      </c>
      <c r="L58" s="1">
        <v>6500</v>
      </c>
    </row>
    <row r="59" spans="2:12" ht="12.75">
      <c r="B59" s="1" t="s">
        <v>110</v>
      </c>
      <c r="D59" s="1" t="s">
        <v>111</v>
      </c>
      <c r="F59" s="1">
        <v>1.32</v>
      </c>
      <c r="H59" s="1">
        <v>1.32</v>
      </c>
      <c r="J59" s="1">
        <v>1.32</v>
      </c>
      <c r="L59" s="1">
        <v>1.33</v>
      </c>
    </row>
    <row r="60" spans="2:12" ht="12.75">
      <c r="B60" s="1" t="s">
        <v>8</v>
      </c>
      <c r="D60" s="1" t="s">
        <v>56</v>
      </c>
      <c r="F60" s="1">
        <v>0.22</v>
      </c>
      <c r="G60" s="1" t="s">
        <v>49</v>
      </c>
      <c r="H60" s="1">
        <v>0.22</v>
      </c>
      <c r="I60" s="1" t="s">
        <v>49</v>
      </c>
      <c r="J60" s="1">
        <v>0.22</v>
      </c>
      <c r="L60" s="1">
        <v>0.01</v>
      </c>
    </row>
    <row r="61" spans="2:10" ht="12.75">
      <c r="B61" s="1" t="s">
        <v>59</v>
      </c>
      <c r="D61" s="1" t="s">
        <v>56</v>
      </c>
      <c r="F61" s="1">
        <v>1429.7</v>
      </c>
      <c r="H61" s="1">
        <v>1275.5</v>
      </c>
      <c r="J61" s="1">
        <v>1429.6</v>
      </c>
    </row>
    <row r="62" spans="2:12" ht="12.75">
      <c r="B62" s="1" t="s">
        <v>170</v>
      </c>
      <c r="D62" s="1" t="s">
        <v>60</v>
      </c>
      <c r="F62" s="1">
        <v>0.024</v>
      </c>
      <c r="H62" s="1">
        <v>0.012</v>
      </c>
      <c r="J62" s="1">
        <v>0.018</v>
      </c>
      <c r="L62" s="1">
        <v>0.02</v>
      </c>
    </row>
    <row r="63" spans="2:12" ht="12.75">
      <c r="B63" s="1" t="s">
        <v>164</v>
      </c>
      <c r="D63" s="1" t="s">
        <v>60</v>
      </c>
      <c r="F63" s="1">
        <v>0.668</v>
      </c>
      <c r="H63" s="1">
        <v>0.748</v>
      </c>
      <c r="J63" s="1">
        <v>0.822</v>
      </c>
      <c r="L63" s="1">
        <v>0.7</v>
      </c>
    </row>
    <row r="64" spans="2:12" ht="12.75">
      <c r="B64" s="1" t="s">
        <v>166</v>
      </c>
      <c r="D64" s="1" t="s">
        <v>60</v>
      </c>
      <c r="F64" s="1">
        <v>0.014</v>
      </c>
      <c r="G64" s="1" t="s">
        <v>49</v>
      </c>
      <c r="H64" s="1">
        <v>0.0342</v>
      </c>
      <c r="I64" s="1" t="s">
        <v>49</v>
      </c>
      <c r="J64" s="1">
        <v>0.0342</v>
      </c>
      <c r="L64" s="1">
        <v>0.02</v>
      </c>
    </row>
    <row r="65" spans="2:12" ht="12.75">
      <c r="B65" s="1" t="s">
        <v>161</v>
      </c>
      <c r="D65" s="1" t="s">
        <v>60</v>
      </c>
      <c r="F65" s="1">
        <v>2.82</v>
      </c>
      <c r="H65" s="1">
        <v>2.38</v>
      </c>
      <c r="J65" s="1">
        <v>3.13</v>
      </c>
      <c r="L65" s="1">
        <v>2.7</v>
      </c>
    </row>
    <row r="66" spans="2:12" ht="12.75">
      <c r="B66" s="1" t="s">
        <v>162</v>
      </c>
      <c r="D66" s="1" t="s">
        <v>60</v>
      </c>
      <c r="E66" s="1" t="s">
        <v>49</v>
      </c>
      <c r="F66" s="1">
        <v>0.0388</v>
      </c>
      <c r="G66" s="1" t="s">
        <v>49</v>
      </c>
      <c r="H66" s="1">
        <v>0.0388</v>
      </c>
      <c r="I66" s="1" t="s">
        <v>49</v>
      </c>
      <c r="J66" s="1">
        <v>0.0388</v>
      </c>
      <c r="L66" s="1">
        <v>0.04</v>
      </c>
    </row>
    <row r="67" spans="2:12" ht="12.75">
      <c r="B67" s="1" t="s">
        <v>167</v>
      </c>
      <c r="D67" s="1" t="s">
        <v>60</v>
      </c>
      <c r="F67" s="1">
        <v>0.734</v>
      </c>
      <c r="H67" s="1">
        <v>0.534</v>
      </c>
      <c r="J67" s="1">
        <v>0.506</v>
      </c>
      <c r="L67" s="1">
        <v>0.6</v>
      </c>
    </row>
    <row r="68" spans="2:12" ht="12.75">
      <c r="B68" s="1" t="s">
        <v>165</v>
      </c>
      <c r="D68" s="1" t="s">
        <v>60</v>
      </c>
      <c r="E68" s="1" t="s">
        <v>49</v>
      </c>
      <c r="F68" s="1">
        <v>0.115</v>
      </c>
      <c r="G68" s="1" t="s">
        <v>49</v>
      </c>
      <c r="H68" s="1">
        <v>0.115</v>
      </c>
      <c r="I68" s="1" t="s">
        <v>49</v>
      </c>
      <c r="J68" s="1">
        <v>0.115</v>
      </c>
      <c r="L68" s="1">
        <v>0.12</v>
      </c>
    </row>
    <row r="69" spans="2:12" ht="12.75">
      <c r="B69" s="1" t="s">
        <v>163</v>
      </c>
      <c r="D69" s="1" t="s">
        <v>60</v>
      </c>
      <c r="E69" s="1" t="s">
        <v>49</v>
      </c>
      <c r="F69" s="1">
        <v>0.828</v>
      </c>
      <c r="G69" s="1" t="s">
        <v>49</v>
      </c>
      <c r="H69" s="1">
        <v>0.828</v>
      </c>
      <c r="I69" s="1" t="s">
        <v>49</v>
      </c>
      <c r="J69" s="1">
        <v>0.828</v>
      </c>
      <c r="L69" s="1">
        <v>0.83</v>
      </c>
    </row>
    <row r="70" spans="2:12" ht="12.75">
      <c r="B70" s="1" t="s">
        <v>185</v>
      </c>
      <c r="D70" s="1" t="s">
        <v>60</v>
      </c>
      <c r="F70" s="1">
        <v>5.63</v>
      </c>
      <c r="H70" s="1">
        <v>5.02</v>
      </c>
      <c r="J70" s="1">
        <v>4.91</v>
      </c>
      <c r="L70" s="1">
        <v>5</v>
      </c>
    </row>
    <row r="71" ht="12.75" customHeight="1"/>
    <row r="72" spans="2:24" ht="12.75">
      <c r="B72" s="1" t="s">
        <v>61</v>
      </c>
      <c r="D72" s="1" t="s">
        <v>13</v>
      </c>
      <c r="F72" s="1">
        <f>emiss!G69</f>
        <v>5469</v>
      </c>
      <c r="H72" s="1">
        <f>emiss!I69</f>
        <v>5014</v>
      </c>
      <c r="J72" s="1">
        <f>emiss!K69</f>
        <v>5211</v>
      </c>
      <c r="L72" s="4">
        <f>emiss!M69</f>
        <v>5231.333333333333</v>
      </c>
      <c r="X72" s="4"/>
    </row>
    <row r="73" spans="2:12" ht="12.75">
      <c r="B73" s="1" t="s">
        <v>115</v>
      </c>
      <c r="D73" s="1" t="s">
        <v>14</v>
      </c>
      <c r="F73" s="1">
        <f>emiss!G70</f>
        <v>8.5</v>
      </c>
      <c r="H73" s="1">
        <f>emiss!I70</f>
        <v>8.7</v>
      </c>
      <c r="J73" s="1">
        <f>emiss!K70</f>
        <v>8.3</v>
      </c>
      <c r="L73" s="1">
        <f>emiss!M70</f>
        <v>8.5</v>
      </c>
    </row>
    <row r="75" spans="2:23" ht="12.75">
      <c r="B75" s="1" t="s">
        <v>169</v>
      </c>
      <c r="D75" s="1" t="s">
        <v>117</v>
      </c>
      <c r="F75" s="4">
        <f>F57*F58/1000000</f>
        <v>13.35285</v>
      </c>
      <c r="G75" s="4"/>
      <c r="H75" s="4">
        <f>H57*H58/1000000</f>
        <v>14.198639999999997</v>
      </c>
      <c r="I75" s="4"/>
      <c r="J75" s="4">
        <f>J57*J58/1000000</f>
        <v>13.56416</v>
      </c>
      <c r="K75" s="4"/>
      <c r="L75" s="4">
        <f>L57*L58/1000000</f>
        <v>14.3</v>
      </c>
      <c r="M75" s="4"/>
      <c r="N75" s="1">
        <f>F75</f>
        <v>13.35285</v>
      </c>
      <c r="P75" s="1">
        <f>H75</f>
        <v>14.198639999999997</v>
      </c>
      <c r="R75" s="1">
        <f>J75</f>
        <v>13.56416</v>
      </c>
      <c r="T75" s="1">
        <f>L75</f>
        <v>14.3</v>
      </c>
      <c r="V75" s="4"/>
      <c r="W75" s="4"/>
    </row>
    <row r="76" spans="2:24" ht="12.75">
      <c r="B76" s="1" t="s">
        <v>116</v>
      </c>
      <c r="D76" s="1" t="s">
        <v>117</v>
      </c>
      <c r="M76" s="4"/>
      <c r="N76" s="4">
        <f>F72/9000*(21-F73)/21*60</f>
        <v>21.702380952380953</v>
      </c>
      <c r="O76" s="4"/>
      <c r="P76" s="4">
        <f>H72/9000*(21-H73)/21*60</f>
        <v>19.57847619047619</v>
      </c>
      <c r="Q76" s="4"/>
      <c r="R76" s="4">
        <f>J72/9000*(21-J73)/21*60</f>
        <v>21.009428571428572</v>
      </c>
      <c r="S76" s="4"/>
      <c r="T76" s="4">
        <f>L72/9000*(21-L73)/21*60</f>
        <v>20.75925925925926</v>
      </c>
      <c r="V76" s="4"/>
      <c r="W76" s="4"/>
      <c r="X76" s="6"/>
    </row>
    <row r="77" spans="12:24" ht="12.75">
      <c r="L77" s="6"/>
      <c r="M77" s="6"/>
      <c r="N77" s="6"/>
      <c r="O77" s="6"/>
      <c r="P77" s="6"/>
      <c r="Q77" s="6"/>
      <c r="R77" s="6"/>
      <c r="S77" s="6"/>
      <c r="T77" s="6"/>
      <c r="V77" s="6"/>
      <c r="W77" s="6"/>
      <c r="X77" s="6"/>
    </row>
    <row r="78" spans="2:24" ht="12.75">
      <c r="B78" s="27" t="s">
        <v>134</v>
      </c>
      <c r="C78" s="27"/>
      <c r="L78" s="6"/>
      <c r="M78" s="6"/>
      <c r="N78" s="6"/>
      <c r="O78" s="6"/>
      <c r="P78" s="6"/>
      <c r="Q78" s="6"/>
      <c r="R78" s="6"/>
      <c r="S78" s="6"/>
      <c r="T78" s="6"/>
      <c r="V78" s="6"/>
      <c r="W78" s="6"/>
      <c r="X78" s="6"/>
    </row>
    <row r="79" spans="2:24" ht="12.75">
      <c r="B79" s="27"/>
      <c r="C79" s="27"/>
      <c r="L79" s="6"/>
      <c r="M79" s="6"/>
      <c r="N79" s="6"/>
      <c r="O79" s="6"/>
      <c r="P79" s="6"/>
      <c r="Q79" s="6"/>
      <c r="R79" s="6"/>
      <c r="S79" s="6"/>
      <c r="T79" s="6"/>
      <c r="V79" s="6"/>
      <c r="W79" s="6"/>
      <c r="X79" s="6"/>
    </row>
    <row r="80" spans="2:24" ht="12.75">
      <c r="B80" s="1" t="s">
        <v>8</v>
      </c>
      <c r="D80" s="1" t="s">
        <v>12</v>
      </c>
      <c r="F80" s="4">
        <f>F60*454/F72/60/0.0283*1000*(21-7)/(21-F73)</f>
        <v>12.046224344904926</v>
      </c>
      <c r="G80" s="1">
        <v>100</v>
      </c>
      <c r="H80" s="4">
        <f>H60*454/H72/60/0.0283*1000*(21-7)/(21-H73)</f>
        <v>13.353018244501785</v>
      </c>
      <c r="I80" s="1">
        <v>100</v>
      </c>
      <c r="J80" s="4">
        <f>J60*454/J72/60/0.0283*1000*(21-7)/(21-J73)</f>
        <v>12.443544044148931</v>
      </c>
      <c r="K80" s="1">
        <f>SUM(H80,J80)/SUM(F80,H80,J80)*100</f>
        <v>68.16771327769135</v>
      </c>
      <c r="L80" s="4">
        <f>AVERAGE(J80,H80,F80)</f>
        <v>12.614262211185213</v>
      </c>
      <c r="M80" s="4"/>
      <c r="N80" s="4">
        <f>F80</f>
        <v>12.046224344904926</v>
      </c>
      <c r="O80" s="1">
        <v>100</v>
      </c>
      <c r="P80" s="4">
        <f>H80</f>
        <v>13.353018244501785</v>
      </c>
      <c r="Q80" s="1">
        <v>100</v>
      </c>
      <c r="R80" s="4">
        <f>J80</f>
        <v>12.443544044148931</v>
      </c>
      <c r="S80" s="1">
        <f>SUM(P80,R80)/SUM(N80,P80,R80)*100</f>
        <v>68.16771327769135</v>
      </c>
      <c r="T80" s="4">
        <f>L80</f>
        <v>12.614262211185213</v>
      </c>
      <c r="U80" s="1" t="s">
        <v>118</v>
      </c>
      <c r="V80" s="4"/>
      <c r="W80" s="4"/>
      <c r="X80" s="4"/>
    </row>
    <row r="81" spans="2:24" ht="12.75">
      <c r="B81" s="1" t="s">
        <v>59</v>
      </c>
      <c r="D81" s="1" t="s">
        <v>114</v>
      </c>
      <c r="F81" s="7">
        <f>F61*454/F72/60/0.0283*1000000*(21-7)/(21-F73)</f>
        <v>78284031.57232079</v>
      </c>
      <c r="H81" s="7">
        <f>H61*454/H72/60/0.0283*1000000*(21-7)/(21-H73)</f>
        <v>77417158.04937285</v>
      </c>
      <c r="J81" s="7">
        <f>J61*454/J72/60/0.0283*1000000*(21-7)/(21-J73)</f>
        <v>80860411.66143322</v>
      </c>
      <c r="L81" s="4">
        <f aca="true" t="shared" si="1" ref="L81:L90">AVERAGE(J81,H81,F81)</f>
        <v>78853867.09437563</v>
      </c>
      <c r="M81" s="4"/>
      <c r="N81" s="4">
        <f>F81</f>
        <v>78284031.57232079</v>
      </c>
      <c r="P81" s="4">
        <f aca="true" t="shared" si="2" ref="P81:P90">H81</f>
        <v>77417158.04937285</v>
      </c>
      <c r="R81" s="4">
        <f aca="true" t="shared" si="3" ref="R81:R90">J81</f>
        <v>80860411.66143322</v>
      </c>
      <c r="T81" s="4">
        <f>L81</f>
        <v>78853867.09437563</v>
      </c>
      <c r="V81" s="4"/>
      <c r="W81" s="4"/>
      <c r="X81" s="7"/>
    </row>
    <row r="82" spans="2:24" ht="12.75">
      <c r="B82" s="1" t="s">
        <v>170</v>
      </c>
      <c r="D82" s="1" t="s">
        <v>11</v>
      </c>
      <c r="F82" s="7">
        <f>F$57*F62*0.000001*454/F$72/60/0.0283*1000000*(21-7)/(21-F$73)</f>
        <v>2.7853060908028353</v>
      </c>
      <c r="H82" s="7">
        <f>H$57*H62*0.000001*454/H$72/60/0.0283*1000000*(21-7)/(21-H$73)</f>
        <v>1.5435117962044462</v>
      </c>
      <c r="J82" s="7">
        <f aca="true" t="shared" si="4" ref="J82:J90">J$57*J62*0.000001*454/J$72/60/0.0283*1000000*(21-7)/(21-J$73)</f>
        <v>2.1577784111320293</v>
      </c>
      <c r="L82" s="4">
        <f t="shared" si="1"/>
        <v>2.162198766046437</v>
      </c>
      <c r="M82" s="4"/>
      <c r="N82" s="4">
        <f>F82</f>
        <v>2.7853060908028353</v>
      </c>
      <c r="P82" s="4">
        <f t="shared" si="2"/>
        <v>1.5435117962044462</v>
      </c>
      <c r="R82" s="4">
        <f t="shared" si="3"/>
        <v>2.1577784111320293</v>
      </c>
      <c r="T82" s="4">
        <f>L82</f>
        <v>2.162198766046437</v>
      </c>
      <c r="V82" s="4"/>
      <c r="W82" s="4"/>
      <c r="X82" s="7"/>
    </row>
    <row r="83" spans="2:24" ht="12.75">
      <c r="B83" s="1" t="s">
        <v>164</v>
      </c>
      <c r="D83" s="1" t="s">
        <v>11</v>
      </c>
      <c r="F83" s="7">
        <f aca="true" t="shared" si="5" ref="F83:H90">F$57*F63*0.000001*454/F$72/60/0.0283*1000000*(21-7)/(21-F$73)</f>
        <v>77.52435286067893</v>
      </c>
      <c r="H83" s="7">
        <f t="shared" si="5"/>
        <v>96.21223529674381</v>
      </c>
      <c r="J83" s="7">
        <f t="shared" si="4"/>
        <v>98.538547441696</v>
      </c>
      <c r="L83" s="4">
        <f t="shared" si="1"/>
        <v>90.75837853303956</v>
      </c>
      <c r="M83" s="4"/>
      <c r="N83" s="4">
        <f aca="true" t="shared" si="6" ref="N83:N90">F83</f>
        <v>77.52435286067893</v>
      </c>
      <c r="P83" s="4">
        <f t="shared" si="2"/>
        <v>96.21223529674381</v>
      </c>
      <c r="R83" s="4">
        <f t="shared" si="3"/>
        <v>98.538547441696</v>
      </c>
      <c r="T83" s="4">
        <f aca="true" t="shared" si="7" ref="T83:T90">L83</f>
        <v>90.75837853303956</v>
      </c>
      <c r="V83" s="4"/>
      <c r="W83" s="4"/>
      <c r="X83" s="7"/>
    </row>
    <row r="84" spans="2:24" ht="12.75">
      <c r="B84" s="1" t="s">
        <v>166</v>
      </c>
      <c r="D84" s="1" t="s">
        <v>11</v>
      </c>
      <c r="F84" s="7">
        <f t="shared" si="5"/>
        <v>1.6247618863016544</v>
      </c>
      <c r="G84" s="1">
        <v>100</v>
      </c>
      <c r="H84" s="7">
        <f t="shared" si="5"/>
        <v>4.3990086191826725</v>
      </c>
      <c r="I84" s="1">
        <v>100</v>
      </c>
      <c r="J84" s="7">
        <f t="shared" si="4"/>
        <v>4.099778981150855</v>
      </c>
      <c r="K84" s="1">
        <f>SUM(H84,J84)/SUM(F84,H84,J84)*100</f>
        <v>83.95066978783858</v>
      </c>
      <c r="L84" s="4">
        <f t="shared" si="1"/>
        <v>3.374516495545061</v>
      </c>
      <c r="M84" s="4"/>
      <c r="N84" s="4">
        <f t="shared" si="6"/>
        <v>1.6247618863016544</v>
      </c>
      <c r="O84" s="1">
        <v>100</v>
      </c>
      <c r="P84" s="4">
        <f t="shared" si="2"/>
        <v>4.3990086191826725</v>
      </c>
      <c r="Q84" s="1">
        <v>100</v>
      </c>
      <c r="R84" s="4">
        <f t="shared" si="3"/>
        <v>4.099778981150855</v>
      </c>
      <c r="S84" s="1">
        <f>SUM(P84,R84)/SUM(N84,P84,R84)*100</f>
        <v>83.95066978783858</v>
      </c>
      <c r="T84" s="4">
        <f t="shared" si="7"/>
        <v>3.374516495545061</v>
      </c>
      <c r="V84" s="4"/>
      <c r="W84" s="4"/>
      <c r="X84" s="7"/>
    </row>
    <row r="85" spans="2:24" ht="12.75">
      <c r="B85" s="1" t="s">
        <v>161</v>
      </c>
      <c r="D85" s="1" t="s">
        <v>11</v>
      </c>
      <c r="F85" s="7">
        <f t="shared" si="5"/>
        <v>327.2734656693332</v>
      </c>
      <c r="H85" s="7">
        <f t="shared" si="5"/>
        <v>306.1298395805484</v>
      </c>
      <c r="J85" s="7">
        <f t="shared" si="4"/>
        <v>375.2136903801806</v>
      </c>
      <c r="L85" s="4">
        <f t="shared" si="1"/>
        <v>336.20566521002075</v>
      </c>
      <c r="M85" s="4"/>
      <c r="N85" s="4">
        <f t="shared" si="6"/>
        <v>327.2734656693332</v>
      </c>
      <c r="P85" s="4">
        <f t="shared" si="2"/>
        <v>306.1298395805484</v>
      </c>
      <c r="R85" s="4">
        <f t="shared" si="3"/>
        <v>375.2136903801806</v>
      </c>
      <c r="T85" s="4">
        <f t="shared" si="7"/>
        <v>336.20566521002075</v>
      </c>
      <c r="V85" s="4"/>
      <c r="W85" s="4"/>
      <c r="X85" s="7"/>
    </row>
    <row r="86" spans="2:24" ht="12.75">
      <c r="B86" s="1" t="s">
        <v>162</v>
      </c>
      <c r="D86" s="1" t="s">
        <v>11</v>
      </c>
      <c r="E86" s="1">
        <v>100</v>
      </c>
      <c r="F86" s="7">
        <f t="shared" si="5"/>
        <v>4.502911513464583</v>
      </c>
      <c r="G86" s="1">
        <v>100</v>
      </c>
      <c r="H86" s="7">
        <f t="shared" si="5"/>
        <v>4.990688141061043</v>
      </c>
      <c r="I86" s="1">
        <v>100</v>
      </c>
      <c r="J86" s="7">
        <f t="shared" si="4"/>
        <v>4.651211241773485</v>
      </c>
      <c r="K86" s="1">
        <v>100</v>
      </c>
      <c r="L86" s="4">
        <f t="shared" si="1"/>
        <v>4.714936965433036</v>
      </c>
      <c r="M86" s="1">
        <v>100</v>
      </c>
      <c r="N86" s="4">
        <f t="shared" si="6"/>
        <v>4.502911513464583</v>
      </c>
      <c r="O86" s="1">
        <v>100</v>
      </c>
      <c r="P86" s="4">
        <f t="shared" si="2"/>
        <v>4.990688141061043</v>
      </c>
      <c r="Q86" s="1">
        <v>100</v>
      </c>
      <c r="R86" s="4">
        <f t="shared" si="3"/>
        <v>4.651211241773485</v>
      </c>
      <c r="S86" s="1">
        <v>100</v>
      </c>
      <c r="T86" s="4">
        <f t="shared" si="7"/>
        <v>4.714936965433036</v>
      </c>
      <c r="V86" s="4"/>
      <c r="W86" s="4"/>
      <c r="X86" s="7"/>
    </row>
    <row r="87" spans="2:24" ht="12.75">
      <c r="B87" s="1" t="s">
        <v>167</v>
      </c>
      <c r="D87" s="1" t="s">
        <v>11</v>
      </c>
      <c r="F87" s="7">
        <f t="shared" si="5"/>
        <v>85.18394461038672</v>
      </c>
      <c r="H87" s="7">
        <f t="shared" si="5"/>
        <v>68.68627493109786</v>
      </c>
      <c r="J87" s="7">
        <f t="shared" si="4"/>
        <v>60.657548668489255</v>
      </c>
      <c r="L87" s="4">
        <f t="shared" si="1"/>
        <v>71.50925606999128</v>
      </c>
      <c r="N87" s="4">
        <f t="shared" si="6"/>
        <v>85.18394461038672</v>
      </c>
      <c r="P87" s="4">
        <f t="shared" si="2"/>
        <v>68.68627493109786</v>
      </c>
      <c r="R87" s="4">
        <f t="shared" si="3"/>
        <v>60.657548668489255</v>
      </c>
      <c r="T87" s="4">
        <f t="shared" si="7"/>
        <v>71.50925606999128</v>
      </c>
      <c r="V87" s="4"/>
      <c r="W87" s="4"/>
      <c r="X87" s="7"/>
    </row>
    <row r="88" spans="2:24" ht="12.75">
      <c r="B88" s="1" t="s">
        <v>165</v>
      </c>
      <c r="D88" s="1" t="s">
        <v>11</v>
      </c>
      <c r="E88" s="1">
        <v>100</v>
      </c>
      <c r="F88" s="7">
        <f t="shared" si="5"/>
        <v>13.346258351763586</v>
      </c>
      <c r="G88" s="1">
        <v>100</v>
      </c>
      <c r="H88" s="7">
        <f t="shared" si="5"/>
        <v>14.791988046959274</v>
      </c>
      <c r="I88" s="1">
        <v>100</v>
      </c>
      <c r="J88" s="7">
        <f t="shared" si="4"/>
        <v>13.785806515565744</v>
      </c>
      <c r="K88" s="1">
        <v>100</v>
      </c>
      <c r="L88" s="4">
        <f t="shared" si="1"/>
        <v>13.974684304762867</v>
      </c>
      <c r="M88" s="1">
        <v>100</v>
      </c>
      <c r="N88" s="4">
        <f t="shared" si="6"/>
        <v>13.346258351763586</v>
      </c>
      <c r="O88" s="1">
        <v>100</v>
      </c>
      <c r="P88" s="4">
        <f t="shared" si="2"/>
        <v>14.791988046959274</v>
      </c>
      <c r="Q88" s="1">
        <v>100</v>
      </c>
      <c r="R88" s="4">
        <f t="shared" si="3"/>
        <v>13.785806515565744</v>
      </c>
      <c r="S88" s="1">
        <v>100</v>
      </c>
      <c r="T88" s="4">
        <f t="shared" si="7"/>
        <v>13.974684304762867</v>
      </c>
      <c r="V88" s="4"/>
      <c r="W88" s="4"/>
      <c r="X88" s="7"/>
    </row>
    <row r="89" spans="2:24" ht="12.75">
      <c r="B89" s="1" t="s">
        <v>163</v>
      </c>
      <c r="D89" s="1" t="s">
        <v>11</v>
      </c>
      <c r="E89" s="1">
        <v>100</v>
      </c>
      <c r="F89" s="7">
        <f t="shared" si="5"/>
        <v>96.09306013269781</v>
      </c>
      <c r="G89" s="1">
        <v>100</v>
      </c>
      <c r="H89" s="7">
        <f t="shared" si="5"/>
        <v>106.50231393810677</v>
      </c>
      <c r="I89" s="1">
        <v>100</v>
      </c>
      <c r="J89" s="7">
        <f t="shared" si="4"/>
        <v>99.25780691207335</v>
      </c>
      <c r="K89" s="1">
        <v>100</v>
      </c>
      <c r="L89" s="4">
        <f t="shared" si="1"/>
        <v>100.61772699429264</v>
      </c>
      <c r="M89" s="1">
        <v>100</v>
      </c>
      <c r="N89" s="4">
        <f t="shared" si="6"/>
        <v>96.09306013269781</v>
      </c>
      <c r="O89" s="1">
        <v>100</v>
      </c>
      <c r="P89" s="4">
        <f t="shared" si="2"/>
        <v>106.50231393810677</v>
      </c>
      <c r="Q89" s="1">
        <v>100</v>
      </c>
      <c r="R89" s="4">
        <f t="shared" si="3"/>
        <v>99.25780691207335</v>
      </c>
      <c r="S89" s="1">
        <v>100</v>
      </c>
      <c r="T89" s="4">
        <f t="shared" si="7"/>
        <v>100.61772699429264</v>
      </c>
      <c r="V89" s="4"/>
      <c r="W89" s="4"/>
      <c r="X89" s="7"/>
    </row>
    <row r="90" spans="2:24" ht="12.75">
      <c r="B90" s="1" t="s">
        <v>185</v>
      </c>
      <c r="D90" s="1" t="s">
        <v>11</v>
      </c>
      <c r="F90" s="7">
        <f t="shared" si="5"/>
        <v>653.386387134165</v>
      </c>
      <c r="H90" s="7">
        <f t="shared" si="5"/>
        <v>645.7024347455267</v>
      </c>
      <c r="J90" s="7">
        <f t="shared" si="4"/>
        <v>588.593999925459</v>
      </c>
      <c r="L90" s="4">
        <f t="shared" si="1"/>
        <v>629.2276072683836</v>
      </c>
      <c r="M90" s="4"/>
      <c r="N90" s="4">
        <f t="shared" si="6"/>
        <v>653.386387134165</v>
      </c>
      <c r="P90" s="4">
        <f t="shared" si="2"/>
        <v>645.7024347455267</v>
      </c>
      <c r="R90" s="4">
        <f t="shared" si="3"/>
        <v>588.593999925459</v>
      </c>
      <c r="T90" s="4">
        <f t="shared" si="7"/>
        <v>629.2276072683836</v>
      </c>
      <c r="V90" s="4"/>
      <c r="W90" s="4"/>
      <c r="X90" s="7"/>
    </row>
    <row r="91" spans="2:24" ht="12.75">
      <c r="B91" s="1" t="s">
        <v>5</v>
      </c>
      <c r="D91" s="1" t="s">
        <v>11</v>
      </c>
      <c r="F91" s="7">
        <f>F84+F83</f>
        <v>79.14911474698059</v>
      </c>
      <c r="G91" s="1">
        <f>H84/H91*100</f>
        <v>4.470003921056072</v>
      </c>
      <c r="H91" s="7">
        <f>H84/2+H83</f>
        <v>98.41173960633515</v>
      </c>
      <c r="I91" s="1">
        <f>J84/J91*100</f>
        <v>4.0757954951734</v>
      </c>
      <c r="J91" s="7">
        <f>J84/2+J83</f>
        <v>100.58843693227142</v>
      </c>
      <c r="K91" s="1">
        <f>SUM((J91*I91/100),(H91*G91/100))/L91/3*100</f>
        <v>3.0554769926080727</v>
      </c>
      <c r="L91" s="4">
        <f>AVERAGE(J91,H91,F91)</f>
        <v>92.71643042852907</v>
      </c>
      <c r="M91" s="4"/>
      <c r="N91" s="4">
        <f aca="true" t="shared" si="8" ref="N91:T92">F91</f>
        <v>79.14911474698059</v>
      </c>
      <c r="O91" s="1">
        <f>P84/P91*100</f>
        <v>4.470003921056072</v>
      </c>
      <c r="P91" s="4">
        <f t="shared" si="8"/>
        <v>98.41173960633515</v>
      </c>
      <c r="Q91" s="1">
        <f>R84/R91*100</f>
        <v>4.0757954951734</v>
      </c>
      <c r="R91" s="4">
        <f t="shared" si="8"/>
        <v>100.58843693227142</v>
      </c>
      <c r="S91" s="1">
        <f>SUM((R91*Q91/100),(P91*O91/100))/T91/3*100</f>
        <v>3.0554769926080727</v>
      </c>
      <c r="T91" s="4">
        <f t="shared" si="8"/>
        <v>92.71643042852907</v>
      </c>
      <c r="V91" s="4"/>
      <c r="W91" s="4"/>
      <c r="X91" s="7"/>
    </row>
    <row r="92" spans="2:24" ht="12.75">
      <c r="B92" s="1" t="s">
        <v>6</v>
      </c>
      <c r="D92" s="1" t="s">
        <v>11</v>
      </c>
      <c r="E92" s="1">
        <f>F86/F92*100</f>
        <v>1.0799376530839453</v>
      </c>
      <c r="F92" s="7">
        <f>F87+F85+F86</f>
        <v>416.9603217931845</v>
      </c>
      <c r="G92" s="1">
        <f>H86/H92*100</f>
        <v>1.3140070441614744</v>
      </c>
      <c r="H92" s="7">
        <f>H87+H85+H86</f>
        <v>379.8068026527073</v>
      </c>
      <c r="I92" s="1">
        <f>J86/J92*100</f>
        <v>1.0558397735931206</v>
      </c>
      <c r="J92" s="7">
        <f>J87+J85+J86</f>
        <v>440.5224502904433</v>
      </c>
      <c r="K92" s="1">
        <f>L86/L92*100</f>
        <v>1.1432094139573876</v>
      </c>
      <c r="L92" s="4">
        <f>AVERAGE(J92,H92,F92)</f>
        <v>412.429858245445</v>
      </c>
      <c r="M92" s="1">
        <f>N86/N92*100</f>
        <v>1.0799376530839453</v>
      </c>
      <c r="N92" s="4">
        <f t="shared" si="8"/>
        <v>416.9603217931845</v>
      </c>
      <c r="O92" s="1">
        <f>P86/P92*100</f>
        <v>1.3140070441614744</v>
      </c>
      <c r="P92" s="4">
        <f t="shared" si="8"/>
        <v>379.8068026527073</v>
      </c>
      <c r="Q92" s="1">
        <f>R86/R92*100</f>
        <v>1.0558397735931206</v>
      </c>
      <c r="R92" s="4">
        <f t="shared" si="8"/>
        <v>440.5224502904433</v>
      </c>
      <c r="S92" s="1">
        <f>T86/T92*100</f>
        <v>1.1432094139573876</v>
      </c>
      <c r="T92" s="4">
        <f t="shared" si="8"/>
        <v>412.429858245445</v>
      </c>
      <c r="V92" s="4"/>
      <c r="W92" s="4"/>
      <c r="X92" s="7"/>
    </row>
    <row r="94" spans="1:20" ht="12.75">
      <c r="A94" s="1" t="s">
        <v>168</v>
      </c>
      <c r="B94" s="8" t="s">
        <v>67</v>
      </c>
      <c r="C94" s="8"/>
      <c r="F94" s="1" t="s">
        <v>175</v>
      </c>
      <c r="H94" s="1" t="s">
        <v>176</v>
      </c>
      <c r="J94" s="1" t="s">
        <v>177</v>
      </c>
      <c r="L94" s="1" t="s">
        <v>46</v>
      </c>
      <c r="N94" s="1" t="s">
        <v>175</v>
      </c>
      <c r="P94" s="1" t="s">
        <v>176</v>
      </c>
      <c r="R94" s="1" t="s">
        <v>177</v>
      </c>
      <c r="T94" s="1" t="s">
        <v>46</v>
      </c>
    </row>
    <row r="95" spans="2:3" ht="12.75">
      <c r="B95" s="8"/>
      <c r="C95" s="8"/>
    </row>
    <row r="96" spans="2:20" ht="12.75">
      <c r="B96" s="33" t="s">
        <v>182</v>
      </c>
      <c r="C96" s="8"/>
      <c r="F96" s="1" t="s">
        <v>201</v>
      </c>
      <c r="H96" s="1" t="s">
        <v>201</v>
      </c>
      <c r="J96" s="1" t="s">
        <v>201</v>
      </c>
      <c r="L96" s="1" t="s">
        <v>201</v>
      </c>
      <c r="N96" s="1" t="s">
        <v>202</v>
      </c>
      <c r="P96" s="1" t="s">
        <v>202</v>
      </c>
      <c r="R96" s="1" t="s">
        <v>202</v>
      </c>
      <c r="T96" s="1" t="s">
        <v>202</v>
      </c>
    </row>
    <row r="97" spans="2:20" ht="12.75">
      <c r="B97" s="33" t="s">
        <v>183</v>
      </c>
      <c r="F97" s="1" t="s">
        <v>184</v>
      </c>
      <c r="H97" s="1" t="s">
        <v>184</v>
      </c>
      <c r="J97" s="1" t="s">
        <v>184</v>
      </c>
      <c r="L97" s="1" t="s">
        <v>184</v>
      </c>
      <c r="N97" s="1" t="s">
        <v>77</v>
      </c>
      <c r="P97" s="1" t="s">
        <v>77</v>
      </c>
      <c r="R97" s="1" t="s">
        <v>77</v>
      </c>
      <c r="T97" s="1" t="s">
        <v>77</v>
      </c>
    </row>
    <row r="98" spans="2:20" ht="12.75">
      <c r="B98" s="33" t="s">
        <v>203</v>
      </c>
      <c r="F98" s="1" t="s">
        <v>1</v>
      </c>
      <c r="H98" s="1" t="s">
        <v>1</v>
      </c>
      <c r="J98" s="1" t="s">
        <v>1</v>
      </c>
      <c r="L98" s="1" t="s">
        <v>1</v>
      </c>
      <c r="N98" s="1" t="s">
        <v>77</v>
      </c>
      <c r="P98" s="1" t="s">
        <v>77</v>
      </c>
      <c r="R98" s="1" t="s">
        <v>77</v>
      </c>
      <c r="T98" s="1" t="s">
        <v>77</v>
      </c>
    </row>
    <row r="99" spans="2:20" ht="12.75">
      <c r="B99" s="1" t="s">
        <v>172</v>
      </c>
      <c r="F99" s="1" t="s">
        <v>55</v>
      </c>
      <c r="H99" s="1" t="s">
        <v>55</v>
      </c>
      <c r="J99" s="1" t="s">
        <v>55</v>
      </c>
      <c r="L99" s="1" t="s">
        <v>55</v>
      </c>
      <c r="N99" s="1" t="s">
        <v>77</v>
      </c>
      <c r="P99" s="1" t="s">
        <v>77</v>
      </c>
      <c r="R99" s="1" t="s">
        <v>77</v>
      </c>
      <c r="T99" s="1" t="s">
        <v>77</v>
      </c>
    </row>
    <row r="100" spans="2:12" ht="12.75">
      <c r="B100" s="1" t="s">
        <v>171</v>
      </c>
      <c r="D100" s="1" t="s">
        <v>56</v>
      </c>
      <c r="F100" s="1">
        <v>3449.7</v>
      </c>
      <c r="H100" s="1">
        <v>3449.8</v>
      </c>
      <c r="J100" s="1">
        <v>3449.7</v>
      </c>
      <c r="L100" s="1">
        <v>3450</v>
      </c>
    </row>
    <row r="101" spans="2:12" ht="12.75">
      <c r="B101" s="1" t="s">
        <v>57</v>
      </c>
      <c r="D101" s="1" t="s">
        <v>58</v>
      </c>
      <c r="F101" s="1">
        <v>6500</v>
      </c>
      <c r="H101" s="1">
        <v>6500</v>
      </c>
      <c r="J101" s="1">
        <v>6500</v>
      </c>
      <c r="L101" s="1">
        <v>6500</v>
      </c>
    </row>
    <row r="102" spans="2:21" ht="12.75">
      <c r="B102" s="1" t="s">
        <v>8</v>
      </c>
      <c r="D102" s="1" t="s">
        <v>56</v>
      </c>
      <c r="F102" s="1">
        <v>14.99</v>
      </c>
      <c r="H102" s="1">
        <v>15</v>
      </c>
      <c r="J102" s="1">
        <v>15</v>
      </c>
      <c r="L102" s="1">
        <v>15</v>
      </c>
      <c r="U102" s="1" t="s">
        <v>63</v>
      </c>
    </row>
    <row r="103" spans="2:21" ht="12.75">
      <c r="B103" s="1" t="s">
        <v>59</v>
      </c>
      <c r="D103" s="1" t="s">
        <v>56</v>
      </c>
      <c r="F103" s="1">
        <v>2258</v>
      </c>
      <c r="H103" s="1">
        <v>2223.7</v>
      </c>
      <c r="J103" s="1">
        <v>2223.6</v>
      </c>
      <c r="L103" s="1">
        <v>2225</v>
      </c>
      <c r="U103" s="1" t="s">
        <v>135</v>
      </c>
    </row>
    <row r="104" spans="2:24" ht="12.75">
      <c r="B104" s="1" t="s">
        <v>200</v>
      </c>
      <c r="D104" s="1" t="s">
        <v>56</v>
      </c>
      <c r="F104" s="1">
        <v>0.0262</v>
      </c>
      <c r="H104" s="1">
        <v>0.025</v>
      </c>
      <c r="J104" s="1">
        <v>0.0254</v>
      </c>
      <c r="L104" s="13">
        <v>0.0255</v>
      </c>
      <c r="M104" s="13"/>
      <c r="N104" s="13"/>
      <c r="O104" s="13"/>
      <c r="P104" s="13"/>
      <c r="Q104" s="13"/>
      <c r="R104" s="13"/>
      <c r="S104" s="13"/>
      <c r="T104" s="13"/>
      <c r="U104" s="1" t="s">
        <v>64</v>
      </c>
      <c r="V104" s="13"/>
      <c r="W104" s="13"/>
      <c r="X104" s="13"/>
    </row>
    <row r="106" spans="2:24" ht="12.75">
      <c r="B106" s="1" t="s">
        <v>61</v>
      </c>
      <c r="D106" s="1" t="s">
        <v>13</v>
      </c>
      <c r="F106" s="1">
        <f>emiss!G97</f>
        <v>7994</v>
      </c>
      <c r="H106" s="1">
        <f>emiss!I97</f>
        <v>8026</v>
      </c>
      <c r="J106" s="1">
        <f>emiss!K97</f>
        <v>8009</v>
      </c>
      <c r="L106" s="4">
        <f>emiss!M97</f>
        <v>8009.666666666667</v>
      </c>
      <c r="M106" s="4"/>
      <c r="N106" s="4"/>
      <c r="O106" s="4"/>
      <c r="P106" s="4"/>
      <c r="Q106" s="4"/>
      <c r="R106" s="4"/>
      <c r="S106" s="4"/>
      <c r="T106" s="4"/>
      <c r="V106" s="4"/>
      <c r="W106" s="4"/>
      <c r="X106" s="4"/>
    </row>
    <row r="107" spans="2:24" ht="12.75">
      <c r="B107" s="1" t="s">
        <v>115</v>
      </c>
      <c r="D107" s="1" t="s">
        <v>14</v>
      </c>
      <c r="F107" s="1">
        <f>emiss!G98</f>
        <v>7.4</v>
      </c>
      <c r="H107" s="1">
        <f>emiss!I98</f>
        <v>7.2</v>
      </c>
      <c r="J107" s="1">
        <f>emiss!K98</f>
        <v>7.4</v>
      </c>
      <c r="L107" s="4">
        <f>emiss!M98</f>
        <v>7.333333333333333</v>
      </c>
      <c r="M107" s="4"/>
      <c r="N107" s="4"/>
      <c r="O107" s="4"/>
      <c r="P107" s="4"/>
      <c r="Q107" s="4"/>
      <c r="R107" s="4"/>
      <c r="S107" s="4"/>
      <c r="T107" s="4"/>
      <c r="V107" s="4"/>
      <c r="W107" s="4"/>
      <c r="X107" s="4"/>
    </row>
    <row r="109" spans="2:24" ht="12.75">
      <c r="B109" s="1" t="s">
        <v>169</v>
      </c>
      <c r="D109" s="1" t="s">
        <v>117</v>
      </c>
      <c r="F109" s="4">
        <f>F100*F101/1000000</f>
        <v>22.42305</v>
      </c>
      <c r="G109" s="4"/>
      <c r="H109" s="4">
        <f>H100*H101/1000000</f>
        <v>22.4237</v>
      </c>
      <c r="I109" s="4"/>
      <c r="J109" s="4">
        <f>J100*J101/1000000</f>
        <v>22.42305</v>
      </c>
      <c r="K109" s="4"/>
      <c r="L109" s="4">
        <f>L100*L101/1000000</f>
        <v>22.425</v>
      </c>
      <c r="M109" s="4"/>
      <c r="N109" s="1">
        <f>F109</f>
        <v>22.42305</v>
      </c>
      <c r="P109" s="1">
        <f>H109</f>
        <v>22.4237</v>
      </c>
      <c r="R109" s="1">
        <f>J109</f>
        <v>22.42305</v>
      </c>
      <c r="T109" s="1">
        <f>L109</f>
        <v>22.425</v>
      </c>
      <c r="V109" s="4"/>
      <c r="W109" s="4"/>
      <c r="X109" s="6"/>
    </row>
    <row r="110" spans="2:24" ht="12.75">
      <c r="B110" s="1" t="s">
        <v>116</v>
      </c>
      <c r="D110" s="1" t="s">
        <v>117</v>
      </c>
      <c r="M110" s="4"/>
      <c r="N110" s="4">
        <f>F106/9000*(21-F107)/21*60</f>
        <v>34.513777777777776</v>
      </c>
      <c r="O110" s="4"/>
      <c r="P110" s="4">
        <f>H106/9000*(21-H107)/21*60</f>
        <v>35.161523809523814</v>
      </c>
      <c r="Q110" s="4"/>
      <c r="R110" s="4">
        <f>J106/9000*(21-J107)/21*60</f>
        <v>34.57853968253968</v>
      </c>
      <c r="S110" s="4"/>
      <c r="T110" s="4">
        <f>L106/9000*(21-L107)/21*60</f>
        <v>34.75093474426808</v>
      </c>
      <c r="V110" s="4"/>
      <c r="W110" s="4"/>
      <c r="X110" s="6"/>
    </row>
    <row r="111" spans="6:24" ht="12.75">
      <c r="F111" s="6"/>
      <c r="H111" s="6"/>
      <c r="J111" s="6"/>
      <c r="L111" s="6"/>
      <c r="M111" s="6"/>
      <c r="N111" s="6"/>
      <c r="O111" s="6"/>
      <c r="P111" s="6"/>
      <c r="Q111" s="6"/>
      <c r="R111" s="6"/>
      <c r="S111" s="6"/>
      <c r="T111" s="6"/>
      <c r="V111" s="6"/>
      <c r="W111" s="6"/>
      <c r="X111" s="6"/>
    </row>
    <row r="112" spans="2:24" ht="12.75">
      <c r="B112" s="27" t="s">
        <v>134</v>
      </c>
      <c r="C112" s="27"/>
      <c r="F112" s="6"/>
      <c r="H112" s="6"/>
      <c r="J112" s="6"/>
      <c r="L112" s="6"/>
      <c r="M112" s="6"/>
      <c r="N112" s="6"/>
      <c r="O112" s="6"/>
      <c r="P112" s="6"/>
      <c r="Q112" s="6"/>
      <c r="R112" s="6"/>
      <c r="S112" s="6"/>
      <c r="T112" s="6"/>
      <c r="V112" s="6"/>
      <c r="W112" s="6"/>
      <c r="X112" s="6"/>
    </row>
    <row r="113" spans="2:24" ht="12.75">
      <c r="B113" s="27"/>
      <c r="C113" s="27"/>
      <c r="F113" s="6"/>
      <c r="H113" s="6"/>
      <c r="J113" s="6"/>
      <c r="L113" s="6"/>
      <c r="M113" s="6"/>
      <c r="N113" s="6"/>
      <c r="O113" s="6"/>
      <c r="P113" s="6"/>
      <c r="Q113" s="6"/>
      <c r="R113" s="6"/>
      <c r="S113" s="6"/>
      <c r="T113" s="6"/>
      <c r="V113" s="6"/>
      <c r="W113" s="6"/>
      <c r="X113" s="6"/>
    </row>
    <row r="114" spans="2:24" ht="12.75">
      <c r="B114" s="1" t="s">
        <v>8</v>
      </c>
      <c r="D114" s="1" t="s">
        <v>12</v>
      </c>
      <c r="F114" s="4">
        <f>F102*454/F106/60/0.0283*1000*(21-7)/(21-F107)</f>
        <v>516.1129819858486</v>
      </c>
      <c r="H114" s="4">
        <f>H102*454/H106/60/0.0283*1000*(21-7)/(21-H107)</f>
        <v>506.9431042408633</v>
      </c>
      <c r="J114" s="4">
        <f>J102*454/J106/60/0.0283*1000*(21-7)/(21-J107)</f>
        <v>515.4900176088017</v>
      </c>
      <c r="L114" s="4">
        <f>AVERAGE(J114,H114,F114)</f>
        <v>512.8487012785046</v>
      </c>
      <c r="M114" s="4"/>
      <c r="N114" s="4">
        <f>F114</f>
        <v>516.1129819858486</v>
      </c>
      <c r="O114" s="4"/>
      <c r="P114" s="4">
        <f>H114</f>
        <v>506.9431042408633</v>
      </c>
      <c r="Q114" s="4"/>
      <c r="R114" s="4">
        <f>J114</f>
        <v>515.4900176088017</v>
      </c>
      <c r="S114" s="4"/>
      <c r="T114" s="4">
        <f>L114</f>
        <v>512.8487012785046</v>
      </c>
      <c r="U114" s="1" t="s">
        <v>64</v>
      </c>
      <c r="V114" s="4"/>
      <c r="W114" s="4"/>
      <c r="X114" s="4"/>
    </row>
    <row r="115" spans="2:24" ht="12.75">
      <c r="B115" s="1" t="s">
        <v>59</v>
      </c>
      <c r="D115" s="1" t="s">
        <v>114</v>
      </c>
      <c r="F115" s="7">
        <f>F103*454/F106/60/0.0283*1000000*(21-7)/(21-F107)</f>
        <v>77744036.91287832</v>
      </c>
      <c r="H115" s="7">
        <f>H103*454/H106/60/0.0283*1000000*(21-7)/(21-H107)</f>
        <v>75152625.39336053</v>
      </c>
      <c r="J115" s="7">
        <f>J103*454/J106/60/0.0283*1000000*(21-7)/(21-J107)</f>
        <v>76416240.21032874</v>
      </c>
      <c r="L115" s="4">
        <f>AVERAGE(J115,H115,F115)</f>
        <v>76437634.17218919</v>
      </c>
      <c r="M115" s="4"/>
      <c r="N115" s="4">
        <f aca="true" t="shared" si="9" ref="N115:T116">F115</f>
        <v>77744036.91287832</v>
      </c>
      <c r="O115" s="4"/>
      <c r="P115" s="4">
        <f t="shared" si="9"/>
        <v>75152625.39336053</v>
      </c>
      <c r="Q115" s="4"/>
      <c r="R115" s="4">
        <f t="shared" si="9"/>
        <v>76416240.21032874</v>
      </c>
      <c r="S115" s="4"/>
      <c r="T115" s="4">
        <f t="shared" si="9"/>
        <v>76437634.17218919</v>
      </c>
      <c r="V115" s="4"/>
      <c r="W115" s="4"/>
      <c r="X115" s="7"/>
    </row>
    <row r="116" spans="2:24" ht="12.75">
      <c r="B116" s="1" t="s">
        <v>200</v>
      </c>
      <c r="D116" s="1" t="s">
        <v>114</v>
      </c>
      <c r="F116" s="7">
        <f>F104*454/F106/60/0.0283*1000000*(21-7)/(21-F107)</f>
        <v>902.0787276870735</v>
      </c>
      <c r="H116" s="7">
        <f>H104*454/H106/60/0.0283*1000000*(21-7)/(21-H107)</f>
        <v>844.9051737347721</v>
      </c>
      <c r="J116" s="7">
        <f>J104*454/J106/60/0.0283*1000000*(21-7)/(21-J107)</f>
        <v>872.8964298175706</v>
      </c>
      <c r="L116" s="4">
        <f>AVERAGE(J116,H116,F116)</f>
        <v>873.2934437464722</v>
      </c>
      <c r="M116" s="4"/>
      <c r="N116" s="4">
        <f t="shared" si="9"/>
        <v>902.0787276870735</v>
      </c>
      <c r="O116" s="4"/>
      <c r="P116" s="4">
        <f t="shared" si="9"/>
        <v>844.9051737347721</v>
      </c>
      <c r="Q116" s="4"/>
      <c r="R116" s="4">
        <f t="shared" si="9"/>
        <v>872.8964298175706</v>
      </c>
      <c r="S116" s="4"/>
      <c r="T116" s="4">
        <f t="shared" si="9"/>
        <v>873.2934437464722</v>
      </c>
      <c r="U116" s="1" t="s">
        <v>64</v>
      </c>
      <c r="V116" s="4"/>
      <c r="W116" s="4"/>
      <c r="X116" s="7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70" r:id="rId1"/>
  <headerFooter alignWithMargins="0">
    <oddFooter>&amp;C&amp;P, &amp;A, &amp;F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23"/>
  <sheetViews>
    <sheetView workbookViewId="0" topLeftCell="A1">
      <selection activeCell="A9" sqref="A9"/>
    </sheetView>
  </sheetViews>
  <sheetFormatPr defaultColWidth="9.140625" defaultRowHeight="12.75"/>
  <cols>
    <col min="1" max="1" width="21.8515625" style="1" customWidth="1"/>
    <col min="2" max="2" width="9.7109375" style="1" customWidth="1"/>
    <col min="3" max="3" width="8.140625" style="1" customWidth="1"/>
    <col min="4" max="4" width="7.421875" style="1" customWidth="1"/>
    <col min="5" max="5" width="7.8515625" style="1" customWidth="1"/>
    <col min="6" max="6" width="8.28125" style="1" customWidth="1"/>
    <col min="7" max="16384" width="11.421875" style="1" customWidth="1"/>
  </cols>
  <sheetData>
    <row r="1" ht="12.75">
      <c r="A1" s="8" t="s">
        <v>68</v>
      </c>
    </row>
    <row r="3" spans="2:6" ht="12.75">
      <c r="B3" s="1" t="s">
        <v>44</v>
      </c>
      <c r="C3" s="2" t="s">
        <v>45</v>
      </c>
      <c r="D3" s="2" t="s">
        <v>45</v>
      </c>
      <c r="E3" s="2" t="s">
        <v>45</v>
      </c>
      <c r="F3" s="2"/>
    </row>
    <row r="4" spans="3:6" ht="12.75">
      <c r="C4" s="2">
        <v>1</v>
      </c>
      <c r="D4" s="2">
        <v>2</v>
      </c>
      <c r="E4" s="2">
        <v>3</v>
      </c>
      <c r="F4" s="2"/>
    </row>
    <row r="5" spans="1:6" ht="12.75">
      <c r="A5" s="8" t="s">
        <v>62</v>
      </c>
      <c r="C5" s="2"/>
      <c r="D5" s="2"/>
      <c r="E5" s="2"/>
      <c r="F5" s="2"/>
    </row>
    <row r="6" spans="1:6" ht="12.75">
      <c r="A6" s="8"/>
      <c r="C6" s="2"/>
      <c r="D6" s="2"/>
      <c r="E6" s="2"/>
      <c r="F6" s="2"/>
    </row>
    <row r="7" spans="1:5" ht="12.75">
      <c r="A7" s="1" t="s">
        <v>69</v>
      </c>
      <c r="B7" s="1" t="s">
        <v>15</v>
      </c>
      <c r="C7" s="1">
        <f>(1362*1.8)+32</f>
        <v>2483.6</v>
      </c>
      <c r="D7" s="1">
        <f>(1360*1.8)+32</f>
        <v>2480</v>
      </c>
      <c r="E7" s="1">
        <f>(1355*1.8)+32</f>
        <v>2471</v>
      </c>
    </row>
    <row r="8" spans="1:5" ht="12.75">
      <c r="A8" s="1" t="s">
        <v>70</v>
      </c>
      <c r="B8" s="1" t="s">
        <v>71</v>
      </c>
      <c r="C8" s="1">
        <v>43</v>
      </c>
      <c r="D8" s="1">
        <v>42</v>
      </c>
      <c r="E8" s="1">
        <v>42</v>
      </c>
    </row>
    <row r="10" ht="12.75">
      <c r="A10" s="8" t="s">
        <v>65</v>
      </c>
    </row>
    <row r="11" ht="12.75">
      <c r="A11" s="8"/>
    </row>
    <row r="12" spans="1:5" ht="12.75">
      <c r="A12" s="1" t="s">
        <v>69</v>
      </c>
      <c r="B12" s="1" t="s">
        <v>15</v>
      </c>
      <c r="C12" s="1">
        <f>(1140*1.8)+32</f>
        <v>2084</v>
      </c>
      <c r="D12" s="1">
        <f>(1142*1.8)+32</f>
        <v>2087.6</v>
      </c>
      <c r="E12" s="1">
        <f>(1143*1.8)+32</f>
        <v>2089.4</v>
      </c>
    </row>
    <row r="13" spans="1:5" ht="12.75">
      <c r="A13" s="1" t="s">
        <v>70</v>
      </c>
      <c r="B13" s="1" t="s">
        <v>71</v>
      </c>
      <c r="C13" s="1">
        <v>35</v>
      </c>
      <c r="D13" s="1">
        <v>35</v>
      </c>
      <c r="E13" s="1">
        <v>35</v>
      </c>
    </row>
    <row r="15" ht="12.75">
      <c r="A15" s="8" t="s">
        <v>54</v>
      </c>
    </row>
    <row r="16" ht="12.75">
      <c r="A16" s="8"/>
    </row>
    <row r="17" spans="1:5" ht="12.75">
      <c r="A17" s="1" t="s">
        <v>69</v>
      </c>
      <c r="B17" s="1" t="s">
        <v>15</v>
      </c>
      <c r="C17" s="1">
        <f>(1250*1.8)+32</f>
        <v>2282</v>
      </c>
      <c r="D17" s="1">
        <f>(1250*1.8)+32</f>
        <v>2282</v>
      </c>
      <c r="E17" s="1">
        <f>(1250*1.8)+32</f>
        <v>2282</v>
      </c>
    </row>
    <row r="18" spans="1:5" ht="12.75">
      <c r="A18" s="1" t="s">
        <v>70</v>
      </c>
      <c r="B18" s="1" t="s">
        <v>71</v>
      </c>
      <c r="C18" s="1">
        <v>35</v>
      </c>
      <c r="D18" s="1">
        <v>35</v>
      </c>
      <c r="E18" s="1">
        <v>34</v>
      </c>
    </row>
    <row r="20" ht="12.75">
      <c r="A20" s="8" t="s">
        <v>67</v>
      </c>
    </row>
    <row r="21" ht="12.75">
      <c r="A21" s="8"/>
    </row>
    <row r="22" spans="1:5" ht="12.75">
      <c r="A22" s="1" t="s">
        <v>69</v>
      </c>
      <c r="B22" s="1" t="s">
        <v>15</v>
      </c>
      <c r="C22" s="1">
        <f>(1363*1.8)+32</f>
        <v>2485.4</v>
      </c>
      <c r="D22" s="1">
        <f>(1364*1.8)+32</f>
        <v>2487.2000000000003</v>
      </c>
      <c r="E22" s="1">
        <f>(1364*1.8)+32</f>
        <v>2487.2000000000003</v>
      </c>
    </row>
    <row r="23" spans="1:5" ht="12.75">
      <c r="A23" s="1" t="s">
        <v>70</v>
      </c>
      <c r="B23" s="1" t="s">
        <v>71</v>
      </c>
      <c r="C23" s="1">
        <v>58</v>
      </c>
      <c r="D23" s="1">
        <v>58</v>
      </c>
      <c r="E23" s="1">
        <v>58</v>
      </c>
    </row>
  </sheetData>
  <printOptions headings="1" horizontalCentered="1"/>
  <pageMargins left="0.25" right="0.25" top="0.5" bottom="0.5" header="0.25" footer="0.25"/>
  <pageSetup horizontalDpi="600" verticalDpi="600" orientation="portrait" pageOrder="overThenDown" scale="80" r:id="rId1"/>
  <headerFooter alignWithMargins="0">
    <oddFooter>&amp;C&amp;P, &amp;A, 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W64"/>
  <sheetViews>
    <sheetView workbookViewId="0" topLeftCell="A1">
      <selection activeCell="A6" sqref="A6"/>
    </sheetView>
  </sheetViews>
  <sheetFormatPr defaultColWidth="9.140625" defaultRowHeight="12.75"/>
  <cols>
    <col min="1" max="1" width="0.9921875" style="15" customWidth="1"/>
    <col min="2" max="2" width="21.140625" style="15" customWidth="1"/>
    <col min="3" max="3" width="7.8515625" style="15" customWidth="1"/>
    <col min="4" max="4" width="5.57421875" style="15" customWidth="1"/>
    <col min="5" max="5" width="7.421875" style="16" customWidth="1"/>
    <col min="6" max="6" width="8.140625" style="17" customWidth="1"/>
    <col min="7" max="7" width="7.8515625" style="16" customWidth="1"/>
    <col min="8" max="8" width="8.140625" style="17" customWidth="1"/>
    <col min="9" max="9" width="4.28125" style="16" customWidth="1"/>
    <col min="10" max="10" width="7.00390625" style="16" customWidth="1"/>
    <col min="11" max="11" width="8.7109375" style="16" customWidth="1"/>
    <col min="12" max="12" width="7.8515625" style="16" customWidth="1"/>
    <col min="13" max="13" width="8.7109375" style="16" customWidth="1"/>
    <col min="14" max="14" width="4.8515625" style="16" customWidth="1"/>
    <col min="15" max="15" width="7.8515625" style="16" customWidth="1"/>
    <col min="16" max="16" width="10.00390625" style="16" customWidth="1"/>
    <col min="17" max="17" width="8.7109375" style="16" customWidth="1"/>
    <col min="18" max="18" width="10.00390625" style="16" customWidth="1"/>
    <col min="19" max="19" width="7.7109375" style="15" customWidth="1"/>
    <col min="20" max="20" width="7.8515625" style="15" customWidth="1"/>
    <col min="21" max="21" width="7.7109375" style="15" customWidth="1"/>
    <col min="22" max="22" width="7.00390625" style="15" customWidth="1"/>
    <col min="23" max="23" width="7.421875" style="15" customWidth="1"/>
    <col min="24" max="16384" width="10.8515625" style="15" customWidth="1"/>
  </cols>
  <sheetData>
    <row r="1" ht="12.75">
      <c r="A1" s="14" t="s">
        <v>123</v>
      </c>
    </row>
    <row r="2" ht="12.75">
      <c r="A2" s="15" t="s">
        <v>211</v>
      </c>
    </row>
    <row r="3" spans="1:3" ht="12.75">
      <c r="A3" s="15" t="s">
        <v>209</v>
      </c>
      <c r="C3" s="33" t="s">
        <v>206</v>
      </c>
    </row>
    <row r="4" spans="1:18" ht="12.75">
      <c r="A4" s="15" t="s">
        <v>208</v>
      </c>
      <c r="C4" s="33" t="s">
        <v>54</v>
      </c>
      <c r="D4" s="18"/>
      <c r="E4" s="19"/>
      <c r="F4" s="20"/>
      <c r="G4" s="19"/>
      <c r="H4" s="20"/>
      <c r="I4" s="19"/>
      <c r="J4" s="19"/>
      <c r="K4" s="19"/>
      <c r="L4" s="19"/>
      <c r="M4" s="19"/>
      <c r="N4" s="19"/>
      <c r="O4" s="19"/>
      <c r="P4" s="19"/>
      <c r="Q4" s="19"/>
      <c r="R4" s="19"/>
    </row>
    <row r="5" spans="1:4" ht="12.75">
      <c r="A5" s="15" t="s">
        <v>210</v>
      </c>
      <c r="C5" s="33" t="s">
        <v>207</v>
      </c>
      <c r="D5" s="18"/>
    </row>
    <row r="6" spans="3:17" ht="12.75">
      <c r="C6" s="18"/>
      <c r="D6" s="18"/>
      <c r="E6" s="21"/>
      <c r="G6" s="21"/>
      <c r="J6" s="21"/>
      <c r="L6" s="21"/>
      <c r="O6" s="21"/>
      <c r="Q6" s="21"/>
    </row>
    <row r="7" spans="3:18" ht="12.75">
      <c r="C7" s="18" t="s">
        <v>72</v>
      </c>
      <c r="D7" s="18"/>
      <c r="E7" s="22" t="s">
        <v>73</v>
      </c>
      <c r="F7" s="22"/>
      <c r="G7" s="22"/>
      <c r="H7" s="22"/>
      <c r="I7" s="23"/>
      <c r="J7" s="22" t="s">
        <v>74</v>
      </c>
      <c r="K7" s="22"/>
      <c r="L7" s="22"/>
      <c r="M7" s="22"/>
      <c r="N7" s="23"/>
      <c r="O7" s="22" t="s">
        <v>75</v>
      </c>
      <c r="P7" s="22"/>
      <c r="Q7" s="22"/>
      <c r="R7" s="22"/>
    </row>
    <row r="8" spans="3:18" ht="12.75">
      <c r="C8" s="18" t="s">
        <v>76</v>
      </c>
      <c r="E8" s="21" t="s">
        <v>77</v>
      </c>
      <c r="F8" s="20" t="s">
        <v>78</v>
      </c>
      <c r="G8" s="21" t="s">
        <v>77</v>
      </c>
      <c r="H8" s="20" t="s">
        <v>78</v>
      </c>
      <c r="J8" s="21" t="s">
        <v>77</v>
      </c>
      <c r="K8" s="21" t="s">
        <v>79</v>
      </c>
      <c r="L8" s="21" t="s">
        <v>77</v>
      </c>
      <c r="M8" s="21" t="s">
        <v>79</v>
      </c>
      <c r="O8" s="21" t="s">
        <v>77</v>
      </c>
      <c r="P8" s="21" t="s">
        <v>79</v>
      </c>
      <c r="Q8" s="21" t="s">
        <v>77</v>
      </c>
      <c r="R8" s="21" t="s">
        <v>79</v>
      </c>
    </row>
    <row r="9" spans="3:18" ht="12.75">
      <c r="C9" s="18"/>
      <c r="E9" s="21" t="s">
        <v>204</v>
      </c>
      <c r="F9" s="21" t="s">
        <v>204</v>
      </c>
      <c r="G9" s="21" t="s">
        <v>122</v>
      </c>
      <c r="H9" s="20" t="s">
        <v>122</v>
      </c>
      <c r="J9" s="21" t="s">
        <v>204</v>
      </c>
      <c r="K9" s="21" t="s">
        <v>204</v>
      </c>
      <c r="L9" s="21" t="s">
        <v>122</v>
      </c>
      <c r="M9" s="20" t="s">
        <v>122</v>
      </c>
      <c r="O9" s="21" t="s">
        <v>204</v>
      </c>
      <c r="P9" s="21" t="s">
        <v>204</v>
      </c>
      <c r="Q9" s="21" t="s">
        <v>122</v>
      </c>
      <c r="R9" s="20" t="s">
        <v>122</v>
      </c>
    </row>
    <row r="10" ht="13.5" customHeight="1">
      <c r="A10" s="15" t="s">
        <v>80</v>
      </c>
    </row>
    <row r="11" spans="2:18" ht="12.75">
      <c r="B11" s="15" t="s">
        <v>81</v>
      </c>
      <c r="C11" s="18">
        <v>1</v>
      </c>
      <c r="D11" s="18"/>
      <c r="E11" s="17">
        <v>0.02</v>
      </c>
      <c r="F11" s="17">
        <f>IF(E11="","",E11*$C11)</f>
        <v>0.02</v>
      </c>
      <c r="G11" s="17">
        <f>IF(E11=0,"",IF(D11="nd",E11/2,E11))</f>
        <v>0.02</v>
      </c>
      <c r="H11" s="17">
        <f>IF(G11="","",G11*$C11)</f>
        <v>0.02</v>
      </c>
      <c r="I11" s="17"/>
      <c r="J11" s="17">
        <v>0.03</v>
      </c>
      <c r="K11" s="17">
        <f>IF(J11="","",J11*$C11)</f>
        <v>0.03</v>
      </c>
      <c r="L11" s="17">
        <f>IF(J11=0,"",IF(I11="nd",J11/2,J11))</f>
        <v>0.03</v>
      </c>
      <c r="M11" s="17">
        <f>IF(L11="","",L11*$C11)</f>
        <v>0.03</v>
      </c>
      <c r="N11" s="17"/>
      <c r="O11" s="17">
        <v>0.03</v>
      </c>
      <c r="P11" s="17">
        <f>IF(O11="","",O11*$C11)</f>
        <v>0.03</v>
      </c>
      <c r="Q11" s="17">
        <f>IF(O11=0,"",IF(N11="nd",O11/2,O11))</f>
        <v>0.03</v>
      </c>
      <c r="R11" s="17">
        <f>IF(Q11="","",Q11*$C11)</f>
        <v>0.03</v>
      </c>
    </row>
    <row r="12" spans="2:18" ht="12.75">
      <c r="B12" s="15" t="s">
        <v>82</v>
      </c>
      <c r="C12" s="18">
        <v>0</v>
      </c>
      <c r="D12" s="18"/>
      <c r="E12" s="17"/>
      <c r="F12" s="17">
        <f>IF(E12="","",E12*$C12)</f>
      </c>
      <c r="G12" s="17">
        <f>IF(E12=0,"",IF(D12="nd",E12/2,E12))</f>
      </c>
      <c r="H12" s="17">
        <f>IF(G12="","",G12*$C12)</f>
      </c>
      <c r="I12" s="17"/>
      <c r="J12" s="17"/>
      <c r="K12" s="17">
        <f>IF(J12="","",J12*$C12)</f>
      </c>
      <c r="L12" s="17">
        <f>IF(J12=0,"",IF(I12="nd",J12/2,J12))</f>
      </c>
      <c r="M12" s="17">
        <f>IF(L12="","",L12*$C12)</f>
      </c>
      <c r="N12" s="17"/>
      <c r="O12" s="17"/>
      <c r="P12" s="17">
        <f>IF(O12="","",O12*$C12)</f>
      </c>
      <c r="Q12" s="17">
        <f>IF(O12=0,"",IF(N12="nd",O12/2,O12))</f>
      </c>
      <c r="R12" s="17">
        <f>IF(Q12="","",Q12*$C12)</f>
      </c>
    </row>
    <row r="13" spans="2:18" ht="12.75">
      <c r="B13" s="15" t="s">
        <v>83</v>
      </c>
      <c r="C13" s="18">
        <v>0.5</v>
      </c>
      <c r="D13" s="18"/>
      <c r="E13" s="17">
        <v>0.08</v>
      </c>
      <c r="F13" s="17">
        <f aca="true" t="shared" si="0" ref="F13:H35">IF(E13="","",E13*$C13)</f>
        <v>0.04</v>
      </c>
      <c r="G13" s="17">
        <f>IF(E13=0,"",IF(D13="nd",E13/2,E13))</f>
        <v>0.08</v>
      </c>
      <c r="H13" s="17">
        <f t="shared" si="0"/>
        <v>0.04</v>
      </c>
      <c r="I13" s="17"/>
      <c r="J13" s="17">
        <v>0.09</v>
      </c>
      <c r="K13" s="17">
        <f aca="true" t="shared" si="1" ref="K13:M28">IF(J13="","",J13*$C13)</f>
        <v>0.045</v>
      </c>
      <c r="L13" s="17">
        <f>IF(J13=0,"",IF(I13="nd",J13/2,J13))</f>
        <v>0.09</v>
      </c>
      <c r="M13" s="17">
        <f t="shared" si="1"/>
        <v>0.045</v>
      </c>
      <c r="N13" s="17"/>
      <c r="O13" s="17">
        <v>0.13</v>
      </c>
      <c r="P13" s="17">
        <f aca="true" t="shared" si="2" ref="P13:R28">IF(O13="","",O13*$C13)</f>
        <v>0.065</v>
      </c>
      <c r="Q13" s="17">
        <f>IF(O13=0,"",IF(N13="nd",O13/2,O13))</f>
        <v>0.13</v>
      </c>
      <c r="R13" s="17">
        <f t="shared" si="2"/>
        <v>0.065</v>
      </c>
    </row>
    <row r="14" spans="2:18" ht="12.75">
      <c r="B14" s="15" t="s">
        <v>84</v>
      </c>
      <c r="C14" s="18">
        <v>0</v>
      </c>
      <c r="D14" s="18"/>
      <c r="E14" s="17"/>
      <c r="F14" s="17">
        <f t="shared" si="0"/>
      </c>
      <c r="G14" s="17">
        <f aca="true" t="shared" si="3" ref="G14:G35">IF(E14=0,"",IF(D14="nd",E14/2,E14))</f>
      </c>
      <c r="H14" s="17">
        <f t="shared" si="0"/>
      </c>
      <c r="I14" s="17"/>
      <c r="J14" s="17"/>
      <c r="K14" s="17">
        <f t="shared" si="1"/>
      </c>
      <c r="L14" s="17">
        <f aca="true" t="shared" si="4" ref="L14:L29">IF(J14=0,"",IF(I14="nd",J14/2,J14))</f>
      </c>
      <c r="M14" s="17">
        <f t="shared" si="1"/>
      </c>
      <c r="N14" s="17"/>
      <c r="O14" s="17"/>
      <c r="P14" s="17">
        <f t="shared" si="2"/>
      </c>
      <c r="Q14" s="17">
        <f aca="true" t="shared" si="5" ref="Q14:Q29">IF(O14=0,"",IF(N14="nd",O14/2,O14))</f>
      </c>
      <c r="R14" s="17">
        <f t="shared" si="2"/>
      </c>
    </row>
    <row r="15" spans="2:18" ht="12.75">
      <c r="B15" s="15" t="s">
        <v>85</v>
      </c>
      <c r="C15" s="18">
        <v>0.1</v>
      </c>
      <c r="D15" s="18"/>
      <c r="E15" s="17">
        <v>0.09</v>
      </c>
      <c r="F15" s="17">
        <f t="shared" si="0"/>
        <v>0.009</v>
      </c>
      <c r="G15" s="17">
        <f t="shared" si="3"/>
        <v>0.09</v>
      </c>
      <c r="H15" s="17">
        <f t="shared" si="0"/>
        <v>0.009</v>
      </c>
      <c r="I15" s="17"/>
      <c r="J15" s="17">
        <v>0.09</v>
      </c>
      <c r="K15" s="17">
        <f t="shared" si="1"/>
        <v>0.009</v>
      </c>
      <c r="L15" s="17">
        <f t="shared" si="4"/>
        <v>0.09</v>
      </c>
      <c r="M15" s="17">
        <f t="shared" si="1"/>
        <v>0.009</v>
      </c>
      <c r="N15" s="17"/>
      <c r="O15" s="17">
        <v>0.12</v>
      </c>
      <c r="P15" s="17">
        <f t="shared" si="2"/>
        <v>0.012</v>
      </c>
      <c r="Q15" s="17">
        <f t="shared" si="5"/>
        <v>0.12</v>
      </c>
      <c r="R15" s="17">
        <f t="shared" si="2"/>
        <v>0.012</v>
      </c>
    </row>
    <row r="16" spans="2:18" ht="12.75">
      <c r="B16" s="15" t="s">
        <v>86</v>
      </c>
      <c r="C16" s="18">
        <v>0.1</v>
      </c>
      <c r="D16" s="18"/>
      <c r="E16" s="17">
        <v>0.15</v>
      </c>
      <c r="F16" s="17">
        <f t="shared" si="0"/>
        <v>0.015</v>
      </c>
      <c r="G16" s="17">
        <f t="shared" si="3"/>
        <v>0.15</v>
      </c>
      <c r="H16" s="17">
        <f t="shared" si="0"/>
        <v>0.015</v>
      </c>
      <c r="I16" s="17"/>
      <c r="J16" s="17">
        <v>0.15</v>
      </c>
      <c r="K16" s="17">
        <f t="shared" si="1"/>
        <v>0.015</v>
      </c>
      <c r="L16" s="17">
        <f t="shared" si="4"/>
        <v>0.15</v>
      </c>
      <c r="M16" s="17">
        <f t="shared" si="1"/>
        <v>0.015</v>
      </c>
      <c r="N16" s="17"/>
      <c r="O16" s="17">
        <v>0.21</v>
      </c>
      <c r="P16" s="17">
        <f t="shared" si="2"/>
        <v>0.021</v>
      </c>
      <c r="Q16" s="17">
        <f t="shared" si="5"/>
        <v>0.21</v>
      </c>
      <c r="R16" s="17">
        <f t="shared" si="2"/>
        <v>0.021</v>
      </c>
    </row>
    <row r="17" spans="2:18" ht="12.75">
      <c r="B17" s="15" t="s">
        <v>87</v>
      </c>
      <c r="C17" s="18">
        <v>0.1</v>
      </c>
      <c r="D17" s="18"/>
      <c r="E17" s="17">
        <v>0.07</v>
      </c>
      <c r="F17" s="17">
        <f t="shared" si="0"/>
        <v>0.007000000000000001</v>
      </c>
      <c r="G17" s="17">
        <f t="shared" si="3"/>
        <v>0.07</v>
      </c>
      <c r="H17" s="17">
        <f t="shared" si="0"/>
        <v>0.007000000000000001</v>
      </c>
      <c r="I17" s="17"/>
      <c r="J17" s="17">
        <v>0.09</v>
      </c>
      <c r="K17" s="17">
        <f t="shared" si="1"/>
        <v>0.009</v>
      </c>
      <c r="L17" s="17">
        <f t="shared" si="4"/>
        <v>0.09</v>
      </c>
      <c r="M17" s="17">
        <f t="shared" si="1"/>
        <v>0.009</v>
      </c>
      <c r="N17" s="17"/>
      <c r="O17" s="17">
        <v>0.12</v>
      </c>
      <c r="P17" s="17">
        <f t="shared" si="2"/>
        <v>0.012</v>
      </c>
      <c r="Q17" s="17">
        <f t="shared" si="5"/>
        <v>0.12</v>
      </c>
      <c r="R17" s="17">
        <f t="shared" si="2"/>
        <v>0.012</v>
      </c>
    </row>
    <row r="18" spans="2:18" ht="12.75">
      <c r="B18" s="15" t="s">
        <v>88</v>
      </c>
      <c r="C18" s="18">
        <v>0</v>
      </c>
      <c r="D18" s="18"/>
      <c r="E18" s="17"/>
      <c r="F18" s="17">
        <f t="shared" si="0"/>
      </c>
      <c r="G18" s="17">
        <f t="shared" si="3"/>
      </c>
      <c r="H18" s="17">
        <f t="shared" si="0"/>
      </c>
      <c r="I18" s="17"/>
      <c r="J18" s="17"/>
      <c r="K18" s="17">
        <f t="shared" si="1"/>
      </c>
      <c r="L18" s="17">
        <f t="shared" si="4"/>
      </c>
      <c r="M18" s="17">
        <f t="shared" si="1"/>
      </c>
      <c r="N18" s="17"/>
      <c r="O18" s="17"/>
      <c r="P18" s="17">
        <f t="shared" si="2"/>
      </c>
      <c r="Q18" s="17">
        <f t="shared" si="5"/>
      </c>
      <c r="R18" s="17">
        <f t="shared" si="2"/>
      </c>
    </row>
    <row r="19" spans="2:18" ht="12.75">
      <c r="B19" s="15" t="s">
        <v>89</v>
      </c>
      <c r="C19" s="18">
        <v>0.01</v>
      </c>
      <c r="D19" s="18"/>
      <c r="E19" s="17">
        <v>0.43</v>
      </c>
      <c r="F19" s="17">
        <f t="shared" si="0"/>
        <v>0.0043</v>
      </c>
      <c r="G19" s="17">
        <f t="shared" si="3"/>
        <v>0.43</v>
      </c>
      <c r="H19" s="17">
        <f t="shared" si="0"/>
        <v>0.0043</v>
      </c>
      <c r="I19" s="17"/>
      <c r="J19" s="17">
        <v>0.34</v>
      </c>
      <c r="K19" s="17">
        <f t="shared" si="1"/>
        <v>0.0034000000000000002</v>
      </c>
      <c r="L19" s="17">
        <f t="shared" si="4"/>
        <v>0.34</v>
      </c>
      <c r="M19" s="17">
        <f t="shared" si="1"/>
        <v>0.0034000000000000002</v>
      </c>
      <c r="N19" s="17"/>
      <c r="O19" s="17">
        <v>0.5</v>
      </c>
      <c r="P19" s="17">
        <f t="shared" si="2"/>
        <v>0.005</v>
      </c>
      <c r="Q19" s="17">
        <f t="shared" si="5"/>
        <v>0.5</v>
      </c>
      <c r="R19" s="17">
        <f t="shared" si="2"/>
        <v>0.005</v>
      </c>
    </row>
    <row r="20" spans="2:18" ht="12.75">
      <c r="B20" s="15" t="s">
        <v>90</v>
      </c>
      <c r="C20" s="18">
        <v>0</v>
      </c>
      <c r="D20" s="18"/>
      <c r="E20" s="17"/>
      <c r="F20" s="17">
        <f t="shared" si="0"/>
      </c>
      <c r="G20" s="17">
        <f t="shared" si="3"/>
      </c>
      <c r="H20" s="17">
        <f t="shared" si="0"/>
      </c>
      <c r="I20" s="17"/>
      <c r="J20" s="17"/>
      <c r="K20" s="17">
        <f t="shared" si="1"/>
      </c>
      <c r="L20" s="17">
        <f t="shared" si="4"/>
      </c>
      <c r="M20" s="17">
        <f t="shared" si="1"/>
      </c>
      <c r="N20" s="17"/>
      <c r="O20" s="17"/>
      <c r="P20" s="17">
        <f t="shared" si="2"/>
      </c>
      <c r="Q20" s="17">
        <f t="shared" si="5"/>
      </c>
      <c r="R20" s="17">
        <f t="shared" si="2"/>
      </c>
    </row>
    <row r="21" spans="2:18" ht="12.75">
      <c r="B21" s="15" t="s">
        <v>91</v>
      </c>
      <c r="C21" s="18">
        <v>0.001</v>
      </c>
      <c r="D21" s="18"/>
      <c r="E21" s="17">
        <v>0.39</v>
      </c>
      <c r="F21" s="17">
        <f t="shared" si="0"/>
        <v>0.00039000000000000005</v>
      </c>
      <c r="G21" s="17">
        <f t="shared" si="3"/>
        <v>0.39</v>
      </c>
      <c r="H21" s="17">
        <f t="shared" si="0"/>
        <v>0.00039000000000000005</v>
      </c>
      <c r="I21" s="17"/>
      <c r="J21" s="17">
        <v>0.35</v>
      </c>
      <c r="K21" s="17">
        <f t="shared" si="1"/>
        <v>0.00035</v>
      </c>
      <c r="L21" s="17">
        <f t="shared" si="4"/>
        <v>0.35</v>
      </c>
      <c r="M21" s="17">
        <f t="shared" si="1"/>
        <v>0.00035</v>
      </c>
      <c r="N21" s="17"/>
      <c r="O21" s="17">
        <v>0.36</v>
      </c>
      <c r="P21" s="17">
        <f t="shared" si="2"/>
        <v>0.00035999999999999997</v>
      </c>
      <c r="Q21" s="17">
        <f t="shared" si="5"/>
        <v>0.36</v>
      </c>
      <c r="R21" s="17">
        <f t="shared" si="2"/>
        <v>0.00035999999999999997</v>
      </c>
    </row>
    <row r="22" spans="2:18" ht="12.75">
      <c r="B22" s="15" t="s">
        <v>92</v>
      </c>
      <c r="C22" s="18">
        <v>0.1</v>
      </c>
      <c r="D22" s="18"/>
      <c r="E22" s="17">
        <v>1.3</v>
      </c>
      <c r="F22" s="17">
        <f t="shared" si="0"/>
        <v>0.13</v>
      </c>
      <c r="G22" s="17">
        <f t="shared" si="3"/>
        <v>1.3</v>
      </c>
      <c r="H22" s="17">
        <f t="shared" si="0"/>
        <v>0.13</v>
      </c>
      <c r="I22" s="17"/>
      <c r="J22" s="17">
        <v>1.3</v>
      </c>
      <c r="K22" s="17">
        <f t="shared" si="1"/>
        <v>0.13</v>
      </c>
      <c r="L22" s="17">
        <f t="shared" si="4"/>
        <v>1.3</v>
      </c>
      <c r="M22" s="17">
        <f t="shared" si="1"/>
        <v>0.13</v>
      </c>
      <c r="N22" s="17"/>
      <c r="O22" s="17">
        <v>1.5</v>
      </c>
      <c r="P22" s="17">
        <f t="shared" si="2"/>
        <v>0.15000000000000002</v>
      </c>
      <c r="Q22" s="17">
        <f t="shared" si="5"/>
        <v>1.5</v>
      </c>
      <c r="R22" s="17">
        <f t="shared" si="2"/>
        <v>0.15000000000000002</v>
      </c>
    </row>
    <row r="23" spans="2:18" ht="12.75">
      <c r="B23" s="15" t="s">
        <v>93</v>
      </c>
      <c r="C23" s="18">
        <v>0</v>
      </c>
      <c r="D23" s="18"/>
      <c r="E23" s="17"/>
      <c r="F23" s="17">
        <f t="shared" si="0"/>
      </c>
      <c r="G23" s="17">
        <f t="shared" si="3"/>
      </c>
      <c r="H23" s="17">
        <f t="shared" si="0"/>
      </c>
      <c r="I23" s="17"/>
      <c r="J23" s="17"/>
      <c r="K23" s="17">
        <f t="shared" si="1"/>
      </c>
      <c r="L23" s="17">
        <f t="shared" si="4"/>
      </c>
      <c r="M23" s="17">
        <f t="shared" si="1"/>
      </c>
      <c r="N23" s="17"/>
      <c r="O23" s="17"/>
      <c r="P23" s="17">
        <f t="shared" si="2"/>
      </c>
      <c r="Q23" s="17">
        <f t="shared" si="5"/>
      </c>
      <c r="R23" s="17">
        <f t="shared" si="2"/>
      </c>
    </row>
    <row r="24" spans="2:18" ht="12.75">
      <c r="B24" s="15" t="s">
        <v>94</v>
      </c>
      <c r="C24" s="18">
        <v>0.05</v>
      </c>
      <c r="D24" s="18"/>
      <c r="E24" s="17">
        <v>1.5</v>
      </c>
      <c r="F24" s="17">
        <f t="shared" si="0"/>
        <v>0.07500000000000001</v>
      </c>
      <c r="G24" s="17">
        <f t="shared" si="3"/>
        <v>1.5</v>
      </c>
      <c r="H24" s="17">
        <f t="shared" si="0"/>
        <v>0.07500000000000001</v>
      </c>
      <c r="I24" s="17"/>
      <c r="J24" s="17">
        <v>1.5</v>
      </c>
      <c r="K24" s="17">
        <f t="shared" si="1"/>
        <v>0.07500000000000001</v>
      </c>
      <c r="L24" s="17">
        <f t="shared" si="4"/>
        <v>1.5</v>
      </c>
      <c r="M24" s="17">
        <f t="shared" si="1"/>
        <v>0.07500000000000001</v>
      </c>
      <c r="N24" s="17"/>
      <c r="O24" s="17">
        <v>1.8</v>
      </c>
      <c r="P24" s="17">
        <f t="shared" si="2"/>
        <v>0.09000000000000001</v>
      </c>
      <c r="Q24" s="17">
        <f t="shared" si="5"/>
        <v>1.8</v>
      </c>
      <c r="R24" s="17">
        <f t="shared" si="2"/>
        <v>0.09000000000000001</v>
      </c>
    </row>
    <row r="25" spans="2:18" ht="12.75">
      <c r="B25" s="15" t="s">
        <v>95</v>
      </c>
      <c r="C25" s="18">
        <v>0.5</v>
      </c>
      <c r="D25" s="18"/>
      <c r="E25" s="17">
        <v>0.72</v>
      </c>
      <c r="F25" s="17">
        <f t="shared" si="0"/>
        <v>0.36</v>
      </c>
      <c r="G25" s="17">
        <f t="shared" si="3"/>
        <v>0.72</v>
      </c>
      <c r="H25" s="17">
        <f t="shared" si="0"/>
        <v>0.36</v>
      </c>
      <c r="I25" s="17"/>
      <c r="J25" s="17">
        <v>0.76</v>
      </c>
      <c r="K25" s="17">
        <f t="shared" si="1"/>
        <v>0.38</v>
      </c>
      <c r="L25" s="17">
        <f t="shared" si="4"/>
        <v>0.76</v>
      </c>
      <c r="M25" s="17">
        <f t="shared" si="1"/>
        <v>0.38</v>
      </c>
      <c r="N25" s="17"/>
      <c r="O25" s="17">
        <v>0.97</v>
      </c>
      <c r="P25" s="17">
        <f t="shared" si="2"/>
        <v>0.485</v>
      </c>
      <c r="Q25" s="17">
        <f t="shared" si="5"/>
        <v>0.97</v>
      </c>
      <c r="R25" s="17">
        <f t="shared" si="2"/>
        <v>0.485</v>
      </c>
    </row>
    <row r="26" spans="2:18" ht="12.75">
      <c r="B26" s="15" t="s">
        <v>96</v>
      </c>
      <c r="C26" s="18">
        <v>0</v>
      </c>
      <c r="D26" s="18"/>
      <c r="E26" s="17"/>
      <c r="F26" s="17">
        <f t="shared" si="0"/>
      </c>
      <c r="G26" s="17">
        <f t="shared" si="3"/>
      </c>
      <c r="H26" s="17">
        <f t="shared" si="0"/>
      </c>
      <c r="I26" s="17"/>
      <c r="J26" s="17"/>
      <c r="K26" s="17">
        <f t="shared" si="1"/>
      </c>
      <c r="L26" s="17">
        <f t="shared" si="4"/>
      </c>
      <c r="M26" s="17">
        <f t="shared" si="1"/>
      </c>
      <c r="N26" s="17"/>
      <c r="O26" s="17"/>
      <c r="P26" s="17">
        <f t="shared" si="2"/>
      </c>
      <c r="Q26" s="17">
        <f t="shared" si="5"/>
      </c>
      <c r="R26" s="17">
        <f t="shared" si="2"/>
      </c>
    </row>
    <row r="27" spans="2:18" ht="12.75">
      <c r="B27" s="15" t="s">
        <v>97</v>
      </c>
      <c r="C27" s="18">
        <v>0.1</v>
      </c>
      <c r="D27" s="18"/>
      <c r="E27" s="17">
        <v>4.2</v>
      </c>
      <c r="F27" s="17">
        <f t="shared" si="0"/>
        <v>0.42000000000000004</v>
      </c>
      <c r="G27" s="17">
        <f t="shared" si="3"/>
        <v>4.2</v>
      </c>
      <c r="H27" s="17">
        <f t="shared" si="0"/>
        <v>0.42000000000000004</v>
      </c>
      <c r="I27" s="17"/>
      <c r="J27" s="17">
        <v>3.8</v>
      </c>
      <c r="K27" s="17">
        <f t="shared" si="1"/>
        <v>0.38</v>
      </c>
      <c r="L27" s="17">
        <f t="shared" si="4"/>
        <v>3.8</v>
      </c>
      <c r="M27" s="17">
        <f t="shared" si="1"/>
        <v>0.38</v>
      </c>
      <c r="N27" s="17"/>
      <c r="O27" s="17">
        <v>4.6</v>
      </c>
      <c r="P27" s="17">
        <f t="shared" si="2"/>
        <v>0.45999999999999996</v>
      </c>
      <c r="Q27" s="17">
        <f t="shared" si="5"/>
        <v>4.6</v>
      </c>
      <c r="R27" s="17">
        <f t="shared" si="2"/>
        <v>0.45999999999999996</v>
      </c>
    </row>
    <row r="28" spans="2:18" ht="12.75">
      <c r="B28" s="15" t="s">
        <v>98</v>
      </c>
      <c r="C28" s="18">
        <v>0.1</v>
      </c>
      <c r="D28" s="18"/>
      <c r="E28" s="17">
        <v>1.1</v>
      </c>
      <c r="F28" s="17">
        <f t="shared" si="0"/>
        <v>0.11000000000000001</v>
      </c>
      <c r="G28" s="17">
        <f t="shared" si="3"/>
        <v>1.1</v>
      </c>
      <c r="H28" s="17">
        <f t="shared" si="0"/>
        <v>0.11000000000000001</v>
      </c>
      <c r="I28" s="17"/>
      <c r="J28" s="17">
        <v>0.99</v>
      </c>
      <c r="K28" s="17">
        <f t="shared" si="1"/>
        <v>0.099</v>
      </c>
      <c r="L28" s="17">
        <f t="shared" si="4"/>
        <v>0.99</v>
      </c>
      <c r="M28" s="17">
        <f t="shared" si="1"/>
        <v>0.099</v>
      </c>
      <c r="N28" s="17"/>
      <c r="O28" s="17">
        <v>1.3</v>
      </c>
      <c r="P28" s="17">
        <f t="shared" si="2"/>
        <v>0.13</v>
      </c>
      <c r="Q28" s="17">
        <f t="shared" si="5"/>
        <v>1.3</v>
      </c>
      <c r="R28" s="17">
        <f t="shared" si="2"/>
        <v>0.13</v>
      </c>
    </row>
    <row r="29" spans="2:18" ht="12.75">
      <c r="B29" s="15" t="s">
        <v>99</v>
      </c>
      <c r="C29" s="18">
        <v>0.1</v>
      </c>
      <c r="D29" s="18"/>
      <c r="E29" s="17">
        <v>0.18</v>
      </c>
      <c r="F29" s="17">
        <f t="shared" si="0"/>
        <v>0.018</v>
      </c>
      <c r="G29" s="17">
        <f t="shared" si="3"/>
        <v>0.18</v>
      </c>
      <c r="H29" s="17">
        <f t="shared" si="0"/>
        <v>0.018</v>
      </c>
      <c r="I29" s="17"/>
      <c r="J29" s="17">
        <v>0.18</v>
      </c>
      <c r="K29" s="17">
        <f aca="true" t="shared" si="6" ref="K29:M35">IF(J29="","",J29*$C29)</f>
        <v>0.018</v>
      </c>
      <c r="L29" s="17">
        <f t="shared" si="4"/>
        <v>0.18</v>
      </c>
      <c r="M29" s="17">
        <f t="shared" si="6"/>
        <v>0.018</v>
      </c>
      <c r="N29" s="17"/>
      <c r="O29" s="17">
        <v>0.19</v>
      </c>
      <c r="P29" s="17">
        <f aca="true" t="shared" si="7" ref="P29:R35">IF(O29="","",O29*$C29)</f>
        <v>0.019000000000000003</v>
      </c>
      <c r="Q29" s="17">
        <f t="shared" si="5"/>
        <v>0.19</v>
      </c>
      <c r="R29" s="17">
        <f t="shared" si="7"/>
        <v>0.019000000000000003</v>
      </c>
    </row>
    <row r="30" spans="2:18" ht="12.75">
      <c r="B30" s="15" t="s">
        <v>100</v>
      </c>
      <c r="C30" s="18">
        <v>0.1</v>
      </c>
      <c r="D30" s="18"/>
      <c r="E30" s="17">
        <v>0.07</v>
      </c>
      <c r="F30" s="17">
        <f t="shared" si="0"/>
        <v>0.007000000000000001</v>
      </c>
      <c r="G30" s="17">
        <f t="shared" si="3"/>
        <v>0.07</v>
      </c>
      <c r="H30" s="17">
        <f t="shared" si="0"/>
        <v>0.007000000000000001</v>
      </c>
      <c r="I30" s="17"/>
      <c r="J30" s="17">
        <v>0.07</v>
      </c>
      <c r="K30" s="17">
        <f t="shared" si="6"/>
        <v>0.007000000000000001</v>
      </c>
      <c r="L30" s="17">
        <f aca="true" t="shared" si="8" ref="L30:L35">IF(J30=0,"",IF(I30="nd",J30/2,J30))</f>
        <v>0.07</v>
      </c>
      <c r="M30" s="17">
        <f t="shared" si="6"/>
        <v>0.007000000000000001</v>
      </c>
      <c r="N30" s="17"/>
      <c r="O30" s="17">
        <v>0.08</v>
      </c>
      <c r="P30" s="17">
        <f t="shared" si="7"/>
        <v>0.008</v>
      </c>
      <c r="Q30" s="17">
        <f aca="true" t="shared" si="9" ref="Q30:Q35">IF(O30=0,"",IF(N30="nd",O30/2,O30))</f>
        <v>0.08</v>
      </c>
      <c r="R30" s="17">
        <f t="shared" si="7"/>
        <v>0.008</v>
      </c>
    </row>
    <row r="31" spans="2:18" ht="12.75">
      <c r="B31" s="15" t="s">
        <v>101</v>
      </c>
      <c r="C31" s="18">
        <v>0</v>
      </c>
      <c r="D31" s="18"/>
      <c r="E31" s="17"/>
      <c r="F31" s="17">
        <f t="shared" si="0"/>
      </c>
      <c r="G31" s="17">
        <f t="shared" si="3"/>
      </c>
      <c r="H31" s="17">
        <f t="shared" si="0"/>
      </c>
      <c r="I31" s="17"/>
      <c r="J31" s="17"/>
      <c r="K31" s="17">
        <f t="shared" si="6"/>
      </c>
      <c r="L31" s="17">
        <f t="shared" si="8"/>
      </c>
      <c r="M31" s="17">
        <f t="shared" si="6"/>
      </c>
      <c r="N31" s="17"/>
      <c r="O31" s="17"/>
      <c r="P31" s="17">
        <f t="shared" si="7"/>
      </c>
      <c r="Q31" s="17">
        <f t="shared" si="9"/>
      </c>
      <c r="R31" s="17">
        <f t="shared" si="7"/>
      </c>
    </row>
    <row r="32" spans="2:18" ht="12.75">
      <c r="B32" s="15" t="s">
        <v>102</v>
      </c>
      <c r="C32" s="18">
        <v>0.01</v>
      </c>
      <c r="D32" s="18"/>
      <c r="E32" s="17">
        <v>4.7</v>
      </c>
      <c r="F32" s="17">
        <f t="shared" si="0"/>
        <v>0.047</v>
      </c>
      <c r="G32" s="17">
        <f t="shared" si="3"/>
        <v>4.7</v>
      </c>
      <c r="H32" s="17">
        <f t="shared" si="0"/>
        <v>0.047</v>
      </c>
      <c r="I32" s="17"/>
      <c r="J32" s="17">
        <v>5.2</v>
      </c>
      <c r="K32" s="17">
        <f t="shared" si="6"/>
        <v>0.052000000000000005</v>
      </c>
      <c r="L32" s="17">
        <f t="shared" si="8"/>
        <v>5.2</v>
      </c>
      <c r="M32" s="17">
        <f t="shared" si="6"/>
        <v>0.052000000000000005</v>
      </c>
      <c r="N32" s="17"/>
      <c r="O32" s="17">
        <v>6.4</v>
      </c>
      <c r="P32" s="17">
        <f t="shared" si="7"/>
        <v>0.064</v>
      </c>
      <c r="Q32" s="17">
        <f t="shared" si="9"/>
        <v>6.4</v>
      </c>
      <c r="R32" s="17">
        <f t="shared" si="7"/>
        <v>0.064</v>
      </c>
    </row>
    <row r="33" spans="2:18" ht="12.75">
      <c r="B33" s="15" t="s">
        <v>103</v>
      </c>
      <c r="C33" s="18">
        <v>0.01</v>
      </c>
      <c r="D33" s="18"/>
      <c r="E33" s="17">
        <v>2</v>
      </c>
      <c r="F33" s="17">
        <f t="shared" si="0"/>
        <v>0.02</v>
      </c>
      <c r="G33" s="17">
        <f t="shared" si="3"/>
        <v>2</v>
      </c>
      <c r="H33" s="17">
        <f t="shared" si="0"/>
        <v>0.02</v>
      </c>
      <c r="I33" s="17"/>
      <c r="J33" s="17">
        <v>1.3</v>
      </c>
      <c r="K33" s="17">
        <f t="shared" si="6"/>
        <v>0.013000000000000001</v>
      </c>
      <c r="L33" s="17">
        <f t="shared" si="8"/>
        <v>1.3</v>
      </c>
      <c r="M33" s="17">
        <f t="shared" si="6"/>
        <v>0.013000000000000001</v>
      </c>
      <c r="N33" s="17"/>
      <c r="O33" s="17">
        <v>2.6</v>
      </c>
      <c r="P33" s="17">
        <f t="shared" si="7"/>
        <v>0.026000000000000002</v>
      </c>
      <c r="Q33" s="17">
        <f t="shared" si="9"/>
        <v>2.6</v>
      </c>
      <c r="R33" s="17">
        <f t="shared" si="7"/>
        <v>0.026000000000000002</v>
      </c>
    </row>
    <row r="34" spans="2:18" ht="12.75">
      <c r="B34" s="15" t="s">
        <v>104</v>
      </c>
      <c r="C34" s="18">
        <v>0</v>
      </c>
      <c r="D34" s="18"/>
      <c r="E34" s="17"/>
      <c r="F34" s="17">
        <f t="shared" si="0"/>
      </c>
      <c r="G34" s="17">
        <f t="shared" si="3"/>
      </c>
      <c r="H34" s="17">
        <f t="shared" si="0"/>
      </c>
      <c r="I34" s="17"/>
      <c r="J34" s="17"/>
      <c r="K34" s="17">
        <f t="shared" si="6"/>
      </c>
      <c r="L34" s="17">
        <f t="shared" si="8"/>
      </c>
      <c r="M34" s="17">
        <f t="shared" si="6"/>
      </c>
      <c r="N34" s="17"/>
      <c r="O34" s="17"/>
      <c r="P34" s="17">
        <f t="shared" si="7"/>
      </c>
      <c r="Q34" s="17">
        <f t="shared" si="9"/>
      </c>
      <c r="R34" s="17">
        <f t="shared" si="7"/>
      </c>
    </row>
    <row r="35" spans="2:18" ht="12.75">
      <c r="B35" s="15" t="s">
        <v>105</v>
      </c>
      <c r="C35" s="18">
        <v>0.001</v>
      </c>
      <c r="D35" s="18"/>
      <c r="E35" s="17">
        <v>3</v>
      </c>
      <c r="F35" s="17">
        <f t="shared" si="0"/>
        <v>0.003</v>
      </c>
      <c r="G35" s="17">
        <f t="shared" si="3"/>
        <v>3</v>
      </c>
      <c r="H35" s="17">
        <f t="shared" si="0"/>
        <v>0.003</v>
      </c>
      <c r="I35" s="17"/>
      <c r="J35" s="17">
        <v>2.8</v>
      </c>
      <c r="K35" s="17">
        <f t="shared" si="6"/>
        <v>0.0028</v>
      </c>
      <c r="L35" s="17">
        <f t="shared" si="8"/>
        <v>2.8</v>
      </c>
      <c r="M35" s="17">
        <f t="shared" si="6"/>
        <v>0.0028</v>
      </c>
      <c r="N35" s="17"/>
      <c r="O35" s="17">
        <v>3.3</v>
      </c>
      <c r="P35" s="17">
        <f t="shared" si="7"/>
        <v>0.0033</v>
      </c>
      <c r="Q35" s="17">
        <f t="shared" si="9"/>
        <v>3.3</v>
      </c>
      <c r="R35" s="17">
        <f t="shared" si="7"/>
        <v>0.0033</v>
      </c>
    </row>
    <row r="36" spans="5:17" ht="12.75">
      <c r="E36" s="24"/>
      <c r="G36" s="24"/>
      <c r="I36" s="24"/>
      <c r="J36" s="24"/>
      <c r="K36" s="24"/>
      <c r="L36" s="24"/>
      <c r="M36" s="24"/>
      <c r="N36" s="24"/>
      <c r="O36" s="24"/>
      <c r="Q36" s="24"/>
    </row>
    <row r="37" spans="2:18" ht="12.75">
      <c r="B37" s="15" t="s">
        <v>106</v>
      </c>
      <c r="E37" s="24"/>
      <c r="F37" s="24">
        <v>124.1</v>
      </c>
      <c r="G37" s="24"/>
      <c r="H37" s="24">
        <v>124.1</v>
      </c>
      <c r="I37" s="24"/>
      <c r="J37" s="24"/>
      <c r="K37" s="24">
        <v>124.9</v>
      </c>
      <c r="L37" s="24"/>
      <c r="M37" s="24">
        <v>124.9</v>
      </c>
      <c r="N37" s="24"/>
      <c r="O37" s="24"/>
      <c r="P37" s="24">
        <v>126.5</v>
      </c>
      <c r="Q37" s="24"/>
      <c r="R37" s="24">
        <v>126.5</v>
      </c>
    </row>
    <row r="38" spans="2:18" ht="12.75">
      <c r="B38" s="15" t="s">
        <v>107</v>
      </c>
      <c r="E38" s="24"/>
      <c r="F38" s="24">
        <v>8.5</v>
      </c>
      <c r="G38" s="24"/>
      <c r="H38" s="24">
        <v>8.5</v>
      </c>
      <c r="I38" s="24"/>
      <c r="J38" s="24"/>
      <c r="K38" s="24">
        <v>8.7</v>
      </c>
      <c r="L38" s="24"/>
      <c r="M38" s="24">
        <v>8.7</v>
      </c>
      <c r="N38" s="24"/>
      <c r="O38" s="24"/>
      <c r="P38" s="24">
        <v>8.3</v>
      </c>
      <c r="Q38" s="24"/>
      <c r="R38" s="24">
        <v>8.3</v>
      </c>
    </row>
    <row r="39" spans="5:18" ht="12.75">
      <c r="E39" s="24"/>
      <c r="F39" s="1"/>
      <c r="G39" s="24"/>
      <c r="H39" s="1"/>
      <c r="I39" s="1"/>
      <c r="J39" s="24"/>
      <c r="K39" s="1"/>
      <c r="L39" s="24"/>
      <c r="M39" s="1"/>
      <c r="N39" s="24"/>
      <c r="O39" s="24"/>
      <c r="P39" s="24"/>
      <c r="Q39" s="24"/>
      <c r="R39" s="24"/>
    </row>
    <row r="40" spans="2:18" ht="12.75">
      <c r="B40" s="15" t="s">
        <v>108</v>
      </c>
      <c r="C40" s="17"/>
      <c r="D40" s="17"/>
      <c r="E40" s="17"/>
      <c r="F40" s="17">
        <f>SUM(F11:F35)</f>
        <v>1.28569</v>
      </c>
      <c r="G40" s="17"/>
      <c r="H40" s="17">
        <f>SUM(H11:H35)</f>
        <v>1.28569</v>
      </c>
      <c r="I40" s="17"/>
      <c r="J40" s="17"/>
      <c r="K40" s="17">
        <f>SUM(K11:K35)</f>
        <v>1.2685499999999998</v>
      </c>
      <c r="L40" s="17"/>
      <c r="M40" s="17">
        <f>SUM(M11:M35)</f>
        <v>1.2685499999999998</v>
      </c>
      <c r="N40" s="17"/>
      <c r="O40" s="17"/>
      <c r="P40" s="17">
        <f>SUM(P11:P35)</f>
        <v>1.5806600000000002</v>
      </c>
      <c r="Q40" s="17"/>
      <c r="R40" s="17">
        <f>SUM(R11:R35)</f>
        <v>1.5806600000000002</v>
      </c>
    </row>
    <row r="41" spans="2:18" ht="12.75">
      <c r="B41" s="15" t="s">
        <v>109</v>
      </c>
      <c r="C41" s="17"/>
      <c r="D41" s="35">
        <f>(F41-H41)*2/F41*100</f>
        <v>0</v>
      </c>
      <c r="E41" s="17"/>
      <c r="F41" s="17">
        <f>F40/F37/0.0283*(21-7)/(21-F38)</f>
        <v>0.41001153179215444</v>
      </c>
      <c r="G41" s="17"/>
      <c r="H41" s="17">
        <f>H40/H37/0.0283*(21-7)/(21-H38)</f>
        <v>0.41001153179215444</v>
      </c>
      <c r="I41" s="35">
        <f>(K41-M41)*2/K41*100</f>
        <v>0</v>
      </c>
      <c r="J41" s="17"/>
      <c r="K41" s="17">
        <f>K40/K37/0.0283*(21-7)/(21-K38)</f>
        <v>0.40849019817422494</v>
      </c>
      <c r="L41" s="17"/>
      <c r="M41" s="17">
        <f>M40/M37/0.0283*(21-7)/(21-M38)</f>
        <v>0.40849019817422494</v>
      </c>
      <c r="N41" s="35">
        <f>(P41-R41)*2/P41*100</f>
        <v>0</v>
      </c>
      <c r="O41" s="17"/>
      <c r="P41" s="17">
        <f>P40/P37/0.0283*(21-7)/(21-P38)</f>
        <v>0.4867274242712008</v>
      </c>
      <c r="Q41" s="17"/>
      <c r="R41" s="17">
        <f>R40/R37/0.0283*(21-7)/(21-R38)</f>
        <v>0.4867274242712008</v>
      </c>
    </row>
    <row r="42" spans="5:17" ht="12.75">
      <c r="E42" s="25"/>
      <c r="G42" s="25"/>
      <c r="I42" s="25"/>
      <c r="J42" s="25"/>
      <c r="K42" s="25"/>
      <c r="L42" s="25"/>
      <c r="M42" s="25"/>
      <c r="N42" s="25"/>
      <c r="O42" s="25"/>
      <c r="Q42" s="25"/>
    </row>
    <row r="43" spans="2:23" s="24" customFormat="1" ht="12.75">
      <c r="B43" s="24" t="s">
        <v>125</v>
      </c>
      <c r="C43" s="24">
        <f>AVERAGE(H41,M41,R41)</f>
        <v>0.4350763847458601</v>
      </c>
      <c r="F43" s="17"/>
      <c r="H43" s="17"/>
      <c r="P43" s="16"/>
      <c r="R43" s="16"/>
      <c r="S43" s="15"/>
      <c r="T43" s="15"/>
      <c r="U43" s="15"/>
      <c r="V43" s="15"/>
      <c r="W43" s="15"/>
    </row>
    <row r="45" spans="5:18" ht="12.75">
      <c r="E45" s="15"/>
      <c r="G45" s="15"/>
      <c r="I45" s="15"/>
      <c r="J45" s="15"/>
      <c r="K45" s="15"/>
      <c r="L45" s="15"/>
      <c r="M45" s="15"/>
      <c r="N45" s="15"/>
      <c r="O45" s="15"/>
      <c r="P45" s="15"/>
      <c r="Q45" s="15"/>
      <c r="R45" s="15"/>
    </row>
    <row r="46" spans="5:18" ht="12.75">
      <c r="E46" s="15"/>
      <c r="G46" s="15"/>
      <c r="I46" s="15"/>
      <c r="J46" s="15"/>
      <c r="K46" s="15"/>
      <c r="L46" s="15"/>
      <c r="M46" s="15"/>
      <c r="N46" s="15"/>
      <c r="O46" s="15"/>
      <c r="P46" s="15"/>
      <c r="Q46" s="15"/>
      <c r="R46" s="15"/>
    </row>
    <row r="47" spans="5:18" ht="12.75">
      <c r="E47" s="15"/>
      <c r="G47" s="15"/>
      <c r="I47" s="15"/>
      <c r="J47" s="15"/>
      <c r="K47" s="15"/>
      <c r="L47" s="15"/>
      <c r="M47" s="15"/>
      <c r="N47" s="15"/>
      <c r="O47" s="15"/>
      <c r="P47" s="15"/>
      <c r="Q47" s="15"/>
      <c r="R47" s="15"/>
    </row>
    <row r="48" spans="5:18" ht="12.75">
      <c r="E48" s="15"/>
      <c r="G48" s="15"/>
      <c r="I48" s="15"/>
      <c r="J48" s="15"/>
      <c r="K48" s="15"/>
      <c r="L48" s="15"/>
      <c r="M48" s="15"/>
      <c r="N48" s="15"/>
      <c r="O48" s="15"/>
      <c r="P48" s="15"/>
      <c r="Q48" s="15"/>
      <c r="R48" s="15"/>
    </row>
    <row r="49" spans="5:18" ht="12.75">
      <c r="E49" s="15"/>
      <c r="G49" s="15"/>
      <c r="I49" s="15"/>
      <c r="J49" s="15"/>
      <c r="K49" s="15"/>
      <c r="L49" s="15"/>
      <c r="M49" s="15"/>
      <c r="N49" s="15"/>
      <c r="O49" s="15"/>
      <c r="P49" s="15"/>
      <c r="Q49" s="15"/>
      <c r="R49" s="15"/>
    </row>
    <row r="50" spans="5:18" ht="12.75">
      <c r="E50" s="15"/>
      <c r="G50" s="15"/>
      <c r="I50" s="15"/>
      <c r="J50" s="15"/>
      <c r="K50" s="15"/>
      <c r="L50" s="15"/>
      <c r="M50" s="15"/>
      <c r="N50" s="15"/>
      <c r="O50" s="15"/>
      <c r="P50" s="15"/>
      <c r="Q50" s="15"/>
      <c r="R50" s="15"/>
    </row>
    <row r="51" spans="5:18" ht="12.75">
      <c r="E51" s="15"/>
      <c r="G51" s="15"/>
      <c r="I51" s="15"/>
      <c r="J51" s="15"/>
      <c r="K51" s="15"/>
      <c r="L51" s="15"/>
      <c r="M51" s="15"/>
      <c r="N51" s="15"/>
      <c r="O51" s="15"/>
      <c r="P51" s="15"/>
      <c r="Q51" s="15"/>
      <c r="R51" s="15"/>
    </row>
    <row r="52" spans="5:18" ht="12.75">
      <c r="E52" s="15"/>
      <c r="G52" s="15"/>
      <c r="I52" s="15"/>
      <c r="J52" s="15"/>
      <c r="K52" s="15"/>
      <c r="L52" s="15"/>
      <c r="M52" s="15"/>
      <c r="N52" s="15"/>
      <c r="O52" s="15"/>
      <c r="P52" s="15"/>
      <c r="Q52" s="15"/>
      <c r="R52" s="15"/>
    </row>
    <row r="53" spans="5:18" ht="12.75">
      <c r="E53" s="15"/>
      <c r="G53" s="15"/>
      <c r="I53" s="15"/>
      <c r="J53" s="15"/>
      <c r="K53" s="15"/>
      <c r="L53" s="15"/>
      <c r="M53" s="15"/>
      <c r="N53" s="15"/>
      <c r="O53" s="15"/>
      <c r="P53" s="15"/>
      <c r="Q53" s="15"/>
      <c r="R53" s="15"/>
    </row>
    <row r="54" spans="5:18" ht="12.75">
      <c r="E54" s="15"/>
      <c r="G54" s="15"/>
      <c r="I54" s="15"/>
      <c r="J54" s="15"/>
      <c r="K54" s="15"/>
      <c r="L54" s="15"/>
      <c r="M54" s="15"/>
      <c r="N54" s="15"/>
      <c r="O54" s="15"/>
      <c r="P54" s="15"/>
      <c r="Q54" s="15"/>
      <c r="R54" s="15"/>
    </row>
    <row r="55" spans="5:18" ht="12.75">
      <c r="E55" s="15"/>
      <c r="G55" s="15"/>
      <c r="I55" s="15"/>
      <c r="J55" s="15"/>
      <c r="K55" s="15"/>
      <c r="L55" s="15"/>
      <c r="M55" s="15"/>
      <c r="N55" s="15"/>
      <c r="O55" s="15"/>
      <c r="P55" s="15"/>
      <c r="Q55" s="15"/>
      <c r="R55" s="15"/>
    </row>
    <row r="56" spans="5:18" ht="12.75">
      <c r="E56" s="15"/>
      <c r="G56" s="15"/>
      <c r="I56" s="15"/>
      <c r="J56" s="15"/>
      <c r="K56" s="15"/>
      <c r="L56" s="15"/>
      <c r="M56" s="15"/>
      <c r="N56" s="15"/>
      <c r="O56" s="15"/>
      <c r="P56" s="15"/>
      <c r="Q56" s="15"/>
      <c r="R56" s="15"/>
    </row>
    <row r="57" spans="5:18" ht="12.75">
      <c r="E57" s="15"/>
      <c r="G57" s="15"/>
      <c r="I57" s="15"/>
      <c r="J57" s="15"/>
      <c r="K57" s="15"/>
      <c r="L57" s="15"/>
      <c r="M57" s="15"/>
      <c r="N57" s="15"/>
      <c r="O57" s="15"/>
      <c r="P57" s="15"/>
      <c r="Q57" s="15"/>
      <c r="R57" s="15"/>
    </row>
    <row r="58" spans="5:18" ht="12.75">
      <c r="E58" s="15"/>
      <c r="G58" s="15"/>
      <c r="I58" s="15"/>
      <c r="J58" s="15"/>
      <c r="K58" s="15"/>
      <c r="L58" s="15"/>
      <c r="M58" s="15"/>
      <c r="N58" s="15"/>
      <c r="O58" s="15"/>
      <c r="P58" s="15"/>
      <c r="Q58" s="15"/>
      <c r="R58" s="15"/>
    </row>
    <row r="59" spans="5:18" ht="12.75">
      <c r="E59" s="15"/>
      <c r="G59" s="15"/>
      <c r="I59" s="15"/>
      <c r="J59" s="15"/>
      <c r="K59" s="15"/>
      <c r="L59" s="15"/>
      <c r="M59" s="15"/>
      <c r="N59" s="15"/>
      <c r="O59" s="15"/>
      <c r="P59" s="15"/>
      <c r="Q59" s="15"/>
      <c r="R59" s="15"/>
    </row>
    <row r="60" spans="5:18" ht="12.75">
      <c r="E60" s="15"/>
      <c r="G60" s="15"/>
      <c r="I60" s="15"/>
      <c r="J60" s="15"/>
      <c r="K60" s="15"/>
      <c r="L60" s="15"/>
      <c r="M60" s="15"/>
      <c r="N60" s="15"/>
      <c r="O60" s="15"/>
      <c r="P60" s="15"/>
      <c r="Q60" s="15"/>
      <c r="R60" s="15"/>
    </row>
    <row r="61" spans="5:18" ht="12.75">
      <c r="E61" s="15"/>
      <c r="G61" s="15"/>
      <c r="I61" s="15"/>
      <c r="J61" s="15"/>
      <c r="K61" s="15"/>
      <c r="L61" s="15"/>
      <c r="M61" s="15"/>
      <c r="N61" s="15"/>
      <c r="O61" s="15"/>
      <c r="P61" s="15"/>
      <c r="Q61" s="15"/>
      <c r="R61" s="15"/>
    </row>
    <row r="62" spans="5:18" ht="12.75">
      <c r="E62" s="15"/>
      <c r="G62" s="15"/>
      <c r="I62" s="15"/>
      <c r="J62" s="15"/>
      <c r="K62" s="15"/>
      <c r="L62" s="15"/>
      <c r="M62" s="15"/>
      <c r="N62" s="15"/>
      <c r="O62" s="15"/>
      <c r="P62" s="15"/>
      <c r="Q62" s="15"/>
      <c r="R62" s="15"/>
    </row>
    <row r="63" spans="5:18" ht="12.75">
      <c r="E63" s="15"/>
      <c r="G63" s="15"/>
      <c r="I63" s="15"/>
      <c r="J63" s="15"/>
      <c r="K63" s="15"/>
      <c r="L63" s="15"/>
      <c r="M63" s="15"/>
      <c r="N63" s="15"/>
      <c r="O63" s="15"/>
      <c r="P63" s="15"/>
      <c r="Q63" s="15"/>
      <c r="R63" s="15"/>
    </row>
    <row r="64" spans="5:18" ht="12.75">
      <c r="E64" s="15"/>
      <c r="G64" s="15"/>
      <c r="I64" s="15"/>
      <c r="J64" s="15"/>
      <c r="K64" s="15"/>
      <c r="L64" s="15"/>
      <c r="M64" s="15"/>
      <c r="N64" s="15"/>
      <c r="O64" s="15"/>
      <c r="P64" s="15"/>
      <c r="Q64" s="15"/>
      <c r="R64" s="15"/>
    </row>
  </sheetData>
  <printOptions headings="1" horizontalCentered="1"/>
  <pageMargins left="0.25" right="0.25" top="0.5" bottom="0.5" header="0.25" footer="0.25"/>
  <pageSetup horizontalDpi="600" verticalDpi="600" orientation="landscape" pageOrder="overThenDown" scale="80" r:id="rId1"/>
  <headerFooter alignWithMargins="0">
    <oddFooter>&amp;C&amp;P, &amp;A, 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Bruce Springsteen</dc:creator>
  <cp:keywords/>
  <dc:description/>
  <cp:lastModifiedBy>Bruce Springsteen</cp:lastModifiedBy>
  <cp:lastPrinted>2004-02-24T17:04:53Z</cp:lastPrinted>
  <dcterms:modified xsi:type="dcterms:W3CDTF">2004-02-24T17:04:58Z</dcterms:modified>
  <cp:category/>
  <cp:version/>
  <cp:contentType/>
  <cp:contentStatus/>
</cp:coreProperties>
</file>