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91" windowWidth="12120" windowHeight="6780" tabRatio="703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<sst xmlns="http://schemas.openxmlformats.org/spreadsheetml/2006/main" count="479" uniqueCount="152">
  <si>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</si>
  <si>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</si>
  <si>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</si>
  <si>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</si>
  <si>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</si>
  <si>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</si>
  <si>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</si>
  <si>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</si>
  <si>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</si>
  <si>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</si>
  <si>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</si>
  <si>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</si>
  <si>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</si>
  <si>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</si>
  <si>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</si>
  <si>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</si>
  <si>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</si>
  <si>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</si>
  <si>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Cond Avg</t>
  </si>
  <si>
    <t>PM</t>
  </si>
  <si>
    <t>gr/dscf</t>
  </si>
  <si>
    <t>y</t>
  </si>
  <si>
    <t>ppmv</t>
  </si>
  <si>
    <t>HCl</t>
  </si>
  <si>
    <t>n</t>
  </si>
  <si>
    <t>Chlorine</t>
  </si>
  <si>
    <t>lb/hr</t>
  </si>
  <si>
    <t>nd</t>
  </si>
  <si>
    <t>dscfm</t>
  </si>
  <si>
    <t>%</t>
  </si>
  <si>
    <t>°F</t>
  </si>
  <si>
    <t>Cl2</t>
  </si>
  <si>
    <t>µg/dscm</t>
  </si>
  <si>
    <t>SVM</t>
  </si>
  <si>
    <t>LVM</t>
  </si>
  <si>
    <t>Feedstream Description</t>
  </si>
  <si>
    <t>Heating Value</t>
  </si>
  <si>
    <t>Btu/lb</t>
  </si>
  <si>
    <t>Ash</t>
  </si>
  <si>
    <t>Stack Gas Flowrate</t>
  </si>
  <si>
    <t>Oxygen</t>
  </si>
  <si>
    <t>Estimated Firing Rate</t>
  </si>
  <si>
    <t>mg/dscm</t>
  </si>
  <si>
    <t>Process Information</t>
  </si>
  <si>
    <t>Combustor Characteristics</t>
  </si>
  <si>
    <t>Stack Gas Emissions</t>
  </si>
  <si>
    <t>HW</t>
  </si>
  <si>
    <t>CO</t>
  </si>
  <si>
    <t>Spike</t>
  </si>
  <si>
    <t>TXD007376700</t>
  </si>
  <si>
    <t>Celanese</t>
  </si>
  <si>
    <t>Pampa</t>
  </si>
  <si>
    <t>TX</t>
  </si>
  <si>
    <t>Baghouse - 10 compartments w/ teflon finnish filters, effective area 198,720 sq ft.</t>
  </si>
  <si>
    <t>Focus Environmental</t>
  </si>
  <si>
    <t>Steam Production Rate</t>
  </si>
  <si>
    <t>Baghouse Temp</t>
  </si>
  <si>
    <t>Coal</t>
  </si>
  <si>
    <t>Total</t>
  </si>
  <si>
    <t>1014C11</t>
  </si>
  <si>
    <t>1014C10</t>
  </si>
  <si>
    <t>Boiler No. 10</t>
  </si>
  <si>
    <t>None Identified</t>
  </si>
  <si>
    <t>Soot Blowing</t>
  </si>
  <si>
    <t>No</t>
  </si>
  <si>
    <t>Organic acids and solvent wastes, include but not limited to long-chain carboxylic acids, ketones, esters</t>
  </si>
  <si>
    <t>Tier III  - Cr; Tier IA - other metals and chlorine</t>
  </si>
  <si>
    <t xml:space="preserve">    Testing Dates</t>
  </si>
  <si>
    <t>CoC; max waste feed rate</t>
  </si>
  <si>
    <t>CoC; min combustion temp</t>
  </si>
  <si>
    <t>PM, Cr, CO emissions; feeds for metals, ash, chlorides</t>
  </si>
  <si>
    <t>FF</t>
  </si>
  <si>
    <t>Hazardous Wastes</t>
  </si>
  <si>
    <t>Haz Waste Description</t>
  </si>
  <si>
    <t>Supplemental Fuel</t>
  </si>
  <si>
    <t>Feedstreams</t>
  </si>
  <si>
    <t>Liq</t>
  </si>
  <si>
    <t>Comb Chamb Temp</t>
  </si>
  <si>
    <t>Vent Gas</t>
  </si>
  <si>
    <t>Waste</t>
  </si>
  <si>
    <t>scfm</t>
  </si>
  <si>
    <t>M lb/hr</t>
  </si>
  <si>
    <t>Capacity (MMBtu/hr)</t>
  </si>
  <si>
    <t>Manufactured by Combustion Engineering, Model No. VU-40. Water tube, pulverized coal, corner t-fired, steam generating boiler. 750,000 lbs/hr capacity</t>
  </si>
  <si>
    <t>7% O2</t>
  </si>
  <si>
    <t>Phase II ID No.</t>
  </si>
  <si>
    <t>Feedrate MTEC Calculations</t>
  </si>
  <si>
    <t>Source Description</t>
  </si>
  <si>
    <t xml:space="preserve">    Gas Velocity (ft/sec)</t>
  </si>
  <si>
    <t xml:space="preserve">    Gas Temperature (°F)</t>
  </si>
  <si>
    <t>None (Boiler No. 9 (Phase II ID No. 1013) is identical but was tested separately)</t>
  </si>
  <si>
    <t xml:space="preserve">   Temperature</t>
  </si>
  <si>
    <t xml:space="preserve">   Stack Gas Flowrate</t>
  </si>
  <si>
    <t>Comments</t>
  </si>
  <si>
    <t>PM, HCl/Cl2</t>
  </si>
  <si>
    <t>Metals</t>
  </si>
  <si>
    <t xml:space="preserve">   O2</t>
  </si>
  <si>
    <t xml:space="preserve">   Moisture</t>
  </si>
  <si>
    <t>Total Chlorine</t>
  </si>
  <si>
    <t>CO (RA)</t>
  </si>
  <si>
    <t>Chromium</t>
  </si>
  <si>
    <t>Sampling Train</t>
  </si>
  <si>
    <t>Arsenic</t>
  </si>
  <si>
    <t>Barium</t>
  </si>
  <si>
    <t>Beryllium</t>
  </si>
  <si>
    <t>Antimony</t>
  </si>
  <si>
    <t>Lead</t>
  </si>
  <si>
    <t>Silver</t>
  </si>
  <si>
    <t>Cadmium</t>
  </si>
  <si>
    <t>*</t>
  </si>
  <si>
    <t>Thermal Feedrate</t>
  </si>
  <si>
    <t>Mercury</t>
  </si>
  <si>
    <t>Feed Rate</t>
  </si>
  <si>
    <t>HWC Burn Status (Date if Terminated)</t>
  </si>
  <si>
    <t>Sootblowing</t>
  </si>
  <si>
    <t>CO (MHRA)</t>
  </si>
  <si>
    <t>Nickel</t>
  </si>
  <si>
    <t>Selenium</t>
  </si>
  <si>
    <t>Thallium</t>
  </si>
  <si>
    <t>Zinc</t>
  </si>
  <si>
    <t xml:space="preserve">    Cond Dates</t>
  </si>
  <si>
    <t>Coal-fired boiler</t>
  </si>
  <si>
    <t>Recertification of Compliance (ReCOC) for Celanese Boilers 9 &amp; 10; No date, Report provided begins at Section 2.0</t>
  </si>
  <si>
    <t>Cond Description</t>
  </si>
  <si>
    <t>R1</t>
  </si>
  <si>
    <t>R2</t>
  </si>
  <si>
    <t>R3</t>
  </si>
  <si>
    <t>Feedstream Number</t>
  </si>
  <si>
    <t>Feed Class</t>
  </si>
  <si>
    <t>Liq HW</t>
  </si>
  <si>
    <t>Misc Fuel</t>
  </si>
  <si>
    <t>E1</t>
  </si>
  <si>
    <t>E2</t>
  </si>
  <si>
    <t>Number of Sister Facilities</t>
  </si>
  <si>
    <t>Combustor Class</t>
  </si>
  <si>
    <t>Combustor Type</t>
  </si>
  <si>
    <t>APCS Detailed Acronym</t>
  </si>
  <si>
    <t>APCS General Class</t>
  </si>
  <si>
    <t>Pulverized coal, still solids</t>
  </si>
  <si>
    <t>source</t>
  </si>
  <si>
    <t>cond</t>
  </si>
  <si>
    <t>emiss</t>
  </si>
  <si>
    <t>feed</t>
  </si>
  <si>
    <t>process</t>
  </si>
  <si>
    <t>Pulverized coal</t>
  </si>
  <si>
    <t>F1</t>
  </si>
  <si>
    <t>F2</t>
  </si>
  <si>
    <t>F3</t>
  </si>
  <si>
    <t>F4</t>
  </si>
  <si>
    <t>F5</t>
  </si>
  <si>
    <t>MMBtu/hr</t>
  </si>
  <si>
    <t>Feed Class 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</si>
</sst>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mmmm\ d\,\ yyyy"/>
    <numFmt numFmtId="169" formatCode="0.0000000"/>
    <numFmt numFmtId="170" formatCode="0.000000"/>
    <numFmt numFmtId="171" formatCode="mmmm\-yy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168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139</v>
      </c>
    </row>
    <row r="2" ht="12.75">
      <c r="A2" t="s">
        <v>140</v>
      </c>
    </row>
    <row r="3" ht="12.75">
      <c r="A3" t="s">
        <v>141</v>
      </c>
    </row>
    <row r="4" ht="12.75">
      <c r="A4" t="s">
        <v>142</v>
      </c>
    </row>
    <row r="5" ht="12.75">
      <c r="A5" t="s">
        <v>143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3"/>
  <sheetViews>
    <sheetView tabSelected="1" workbookViewId="0" topLeftCell="B1">
      <selection activeCell="C10" sqref="C10"/>
    </sheetView>
  </sheetViews>
  <sheetFormatPr defaultColWidth="9.140625" defaultRowHeight="12.75"/>
  <cols>
    <col min="1" max="1" width="9.140625" style="14" hidden="1" customWidth="1"/>
    <col min="2" max="2" width="25.00390625" style="14" customWidth="1"/>
    <col min="3" max="3" width="58.140625" style="14" customWidth="1"/>
    <col min="4" max="16384" width="8.8515625" style="14" customWidth="1"/>
  </cols>
  <sheetData>
    <row r="1" ht="12.75">
      <c r="B1" s="15" t="s">
        <v>87</v>
      </c>
    </row>
    <row r="3" spans="2:3" ht="12.75">
      <c r="B3" s="14" t="s">
        <v>85</v>
      </c>
      <c r="C3" s="16">
        <v>1014</v>
      </c>
    </row>
    <row r="4" spans="2:3" ht="12.75">
      <c r="B4" s="14" t="s">
        <v>0</v>
      </c>
      <c r="C4" s="14" t="s">
        <v>49</v>
      </c>
    </row>
    <row r="5" spans="2:3" ht="12.75">
      <c r="B5" s="14" t="s">
        <v>1</v>
      </c>
      <c r="C5" s="14" t="s">
        <v>50</v>
      </c>
    </row>
    <row r="6" ht="12.75">
      <c r="B6" s="14" t="s">
        <v>2</v>
      </c>
    </row>
    <row r="7" spans="2:3" ht="12.75">
      <c r="B7" s="14" t="s">
        <v>3</v>
      </c>
      <c r="C7" s="14" t="s">
        <v>51</v>
      </c>
    </row>
    <row r="8" spans="2:3" ht="12.75">
      <c r="B8" s="14" t="s">
        <v>4</v>
      </c>
      <c r="C8" s="14" t="s">
        <v>52</v>
      </c>
    </row>
    <row r="9" spans="2:3" ht="12.75">
      <c r="B9" s="14" t="s">
        <v>5</v>
      </c>
      <c r="C9" s="14" t="s">
        <v>61</v>
      </c>
    </row>
    <row r="10" spans="2:3" s="17" customFormat="1" ht="25.5">
      <c r="B10" s="17" t="s">
        <v>6</v>
      </c>
      <c r="C10" s="17" t="s">
        <v>90</v>
      </c>
    </row>
    <row r="11" spans="2:3" s="17" customFormat="1" ht="12.75">
      <c r="B11" s="29" t="s">
        <v>133</v>
      </c>
      <c r="C11" s="27">
        <v>0</v>
      </c>
    </row>
    <row r="12" spans="2:3" ht="12.75">
      <c r="B12" s="14" t="s">
        <v>134</v>
      </c>
      <c r="C12" s="14" t="s">
        <v>121</v>
      </c>
    </row>
    <row r="13" spans="2:3" ht="12.75">
      <c r="B13" s="14" t="s">
        <v>135</v>
      </c>
      <c r="C13" s="14" t="s">
        <v>144</v>
      </c>
    </row>
    <row r="14" spans="2:3" s="17" customFormat="1" ht="38.25">
      <c r="B14" s="17" t="s">
        <v>44</v>
      </c>
      <c r="C14" s="17" t="s">
        <v>83</v>
      </c>
    </row>
    <row r="15" spans="2:3" s="17" customFormat="1" ht="12.75">
      <c r="B15" s="17" t="s">
        <v>82</v>
      </c>
      <c r="C15" s="27">
        <v>1000</v>
      </c>
    </row>
    <row r="16" spans="2:3" ht="12.75">
      <c r="B16" s="14" t="s">
        <v>63</v>
      </c>
      <c r="C16" s="14" t="s">
        <v>64</v>
      </c>
    </row>
    <row r="17" spans="2:3" s="17" customFormat="1" ht="12.75">
      <c r="B17" s="29" t="s">
        <v>136</v>
      </c>
      <c r="C17" s="14" t="s">
        <v>71</v>
      </c>
    </row>
    <row r="18" spans="2:3" s="17" customFormat="1" ht="12.75">
      <c r="B18" s="29" t="s">
        <v>137</v>
      </c>
      <c r="C18" s="14" t="s">
        <v>71</v>
      </c>
    </row>
    <row r="19" spans="2:3" ht="25.5">
      <c r="B19" s="17" t="s">
        <v>7</v>
      </c>
      <c r="C19" s="17" t="s">
        <v>53</v>
      </c>
    </row>
    <row r="20" spans="2:3" ht="12.75">
      <c r="B20" s="14" t="s">
        <v>72</v>
      </c>
      <c r="C20" s="14" t="s">
        <v>76</v>
      </c>
    </row>
    <row r="21" spans="2:3" s="17" customFormat="1" ht="25.5">
      <c r="B21" s="17" t="s">
        <v>73</v>
      </c>
      <c r="C21" s="17" t="s">
        <v>65</v>
      </c>
    </row>
    <row r="22" spans="2:3" ht="12.75" customHeight="1">
      <c r="B22" s="14" t="s">
        <v>74</v>
      </c>
      <c r="C22" s="18" t="s">
        <v>57</v>
      </c>
    </row>
    <row r="23" ht="12.75">
      <c r="C23" s="14" t="s">
        <v>138</v>
      </c>
    </row>
    <row r="25" ht="12.75">
      <c r="B25" s="14" t="s">
        <v>8</v>
      </c>
    </row>
    <row r="26" spans="2:3" ht="12.75">
      <c r="B26" s="14" t="s">
        <v>9</v>
      </c>
      <c r="C26" s="16"/>
    </row>
    <row r="27" spans="2:3" ht="12.75">
      <c r="B27" s="14" t="s">
        <v>10</v>
      </c>
      <c r="C27" s="16"/>
    </row>
    <row r="28" spans="2:3" ht="12.75">
      <c r="B28" s="14" t="s">
        <v>88</v>
      </c>
      <c r="C28" s="16"/>
    </row>
    <row r="29" spans="2:3" ht="12.75" customHeight="1">
      <c r="B29" s="14" t="s">
        <v>89</v>
      </c>
      <c r="C29" s="22">
        <f>emiss!M19</f>
        <v>371</v>
      </c>
    </row>
    <row r="31" spans="2:3" ht="12.75" customHeight="1">
      <c r="B31" s="14" t="s">
        <v>11</v>
      </c>
      <c r="C31" s="14" t="s">
        <v>66</v>
      </c>
    </row>
    <row r="32" s="18" customFormat="1" ht="30.75" customHeight="1">
      <c r="B32" s="18" t="s">
        <v>113</v>
      </c>
    </row>
    <row r="33" spans="2:3" s="17" customFormat="1" ht="12.75">
      <c r="B33" s="14"/>
      <c r="C33" s="1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A1" sqref="A1:A16384"/>
    </sheetView>
  </sheetViews>
  <sheetFormatPr defaultColWidth="9.140625" defaultRowHeight="12.75"/>
  <cols>
    <col min="1" max="1" width="9.140625" style="0" hidden="1" customWidth="1"/>
    <col min="2" max="2" width="21.421875" style="0" customWidth="1"/>
    <col min="3" max="3" width="51.28125" style="0" customWidth="1"/>
  </cols>
  <sheetData>
    <row r="1" ht="12.75">
      <c r="B1" s="31" t="s">
        <v>123</v>
      </c>
    </row>
    <row r="3" ht="12.75">
      <c r="B3" s="32" t="s">
        <v>60</v>
      </c>
    </row>
    <row r="4" ht="12.75">
      <c r="B4" s="32"/>
    </row>
    <row r="5" spans="2:3" s="14" customFormat="1" ht="26.25" customHeight="1">
      <c r="B5" s="17" t="s">
        <v>12</v>
      </c>
      <c r="C5" s="17" t="s">
        <v>122</v>
      </c>
    </row>
    <row r="6" spans="2:3" s="14" customFormat="1" ht="12.75">
      <c r="B6" s="14" t="s">
        <v>13</v>
      </c>
      <c r="C6" s="14" t="s">
        <v>54</v>
      </c>
    </row>
    <row r="7" spans="2:3" s="14" customFormat="1" ht="12.75">
      <c r="B7" s="14" t="s">
        <v>14</v>
      </c>
      <c r="C7" s="14" t="s">
        <v>62</v>
      </c>
    </row>
    <row r="8" spans="2:3" s="14" customFormat="1" ht="12.75">
      <c r="B8" s="14" t="s">
        <v>67</v>
      </c>
      <c r="C8" s="19">
        <v>36056</v>
      </c>
    </row>
    <row r="9" spans="2:3" s="14" customFormat="1" ht="12.75">
      <c r="B9" s="14" t="s">
        <v>120</v>
      </c>
      <c r="C9" s="30">
        <v>36039</v>
      </c>
    </row>
    <row r="10" spans="2:3" s="14" customFormat="1" ht="12.75">
      <c r="B10" s="14" t="s">
        <v>15</v>
      </c>
      <c r="C10" s="14" t="s">
        <v>68</v>
      </c>
    </row>
    <row r="11" spans="2:3" s="14" customFormat="1" ht="12.75">
      <c r="B11" s="14" t="s">
        <v>16</v>
      </c>
      <c r="C11" s="14" t="s">
        <v>70</v>
      </c>
    </row>
    <row r="12" s="14" customFormat="1" ht="12.75"/>
    <row r="13" s="14" customFormat="1" ht="12.75">
      <c r="B13" s="32" t="s">
        <v>59</v>
      </c>
    </row>
    <row r="14" s="14" customFormat="1" ht="12.75">
      <c r="B14" s="32"/>
    </row>
    <row r="15" spans="2:3" s="14" customFormat="1" ht="26.25" customHeight="1">
      <c r="B15" s="17" t="s">
        <v>12</v>
      </c>
      <c r="C15" s="17" t="s">
        <v>122</v>
      </c>
    </row>
    <row r="16" spans="2:3" s="14" customFormat="1" ht="12.75">
      <c r="B16" s="14" t="s">
        <v>13</v>
      </c>
      <c r="C16" s="14" t="s">
        <v>54</v>
      </c>
    </row>
    <row r="17" spans="2:3" s="14" customFormat="1" ht="12.75">
      <c r="B17" s="14" t="s">
        <v>14</v>
      </c>
      <c r="C17" s="14" t="s">
        <v>62</v>
      </c>
    </row>
    <row r="18" spans="2:3" s="14" customFormat="1" ht="12.75">
      <c r="B18" s="14" t="s">
        <v>67</v>
      </c>
      <c r="C18" s="19">
        <v>36054</v>
      </c>
    </row>
    <row r="19" spans="2:3" s="14" customFormat="1" ht="12.75">
      <c r="B19" s="14" t="s">
        <v>120</v>
      </c>
      <c r="C19" s="30">
        <v>36039</v>
      </c>
    </row>
    <row r="20" spans="2:3" s="14" customFormat="1" ht="12.75">
      <c r="B20" s="14" t="s">
        <v>15</v>
      </c>
      <c r="C20" s="14" t="s">
        <v>69</v>
      </c>
    </row>
    <row r="21" spans="2:3" s="14" customFormat="1" ht="12.75">
      <c r="B21" s="14" t="s">
        <v>16</v>
      </c>
      <c r="C21" s="14" t="s">
        <v>47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B25">
      <selection activeCell="G47" sqref="G47"/>
    </sheetView>
  </sheetViews>
  <sheetFormatPr defaultColWidth="9.140625" defaultRowHeight="12.75"/>
  <cols>
    <col min="1" max="1" width="7.28125" style="3" hidden="1" customWidth="1"/>
    <col min="2" max="3" width="18.140625" style="3" customWidth="1"/>
    <col min="4" max="4" width="8.8515625" style="2" customWidth="1"/>
    <col min="5" max="5" width="5.8515625" style="2" customWidth="1"/>
    <col min="6" max="6" width="3.00390625" style="2" customWidth="1"/>
    <col min="7" max="7" width="8.8515625" style="3" customWidth="1"/>
    <col min="8" max="8" width="3.7109375" style="3" customWidth="1"/>
    <col min="9" max="9" width="8.8515625" style="3" customWidth="1"/>
    <col min="10" max="10" width="3.140625" style="3" customWidth="1"/>
    <col min="11" max="11" width="8.8515625" style="3" customWidth="1"/>
    <col min="12" max="12" width="3.7109375" style="3" customWidth="1"/>
    <col min="13" max="14" width="8.8515625" style="3" customWidth="1"/>
    <col min="15" max="15" width="3.7109375" style="3" customWidth="1"/>
    <col min="16" max="16" width="8.8515625" style="3" customWidth="1"/>
    <col min="17" max="17" width="3.57421875" style="3" customWidth="1"/>
    <col min="18" max="18" width="8.8515625" style="3" customWidth="1"/>
    <col min="19" max="19" width="3.57421875" style="3" customWidth="1"/>
    <col min="20" max="16384" width="8.8515625" style="3" customWidth="1"/>
  </cols>
  <sheetData>
    <row r="1" spans="2:3" ht="12.75">
      <c r="B1" s="1" t="s">
        <v>45</v>
      </c>
      <c r="C1" s="1"/>
    </row>
    <row r="2" spans="2:14" ht="12.75">
      <c r="B2" s="4"/>
      <c r="C2" s="4"/>
      <c r="G2" s="4"/>
      <c r="H2" s="4"/>
      <c r="I2" s="4"/>
      <c r="J2" s="4"/>
      <c r="K2" s="4"/>
      <c r="L2" s="4"/>
      <c r="M2" s="4"/>
      <c r="N2" s="4"/>
    </row>
    <row r="3" spans="2:14" ht="12.75">
      <c r="B3" s="14"/>
      <c r="C3" s="14" t="s">
        <v>93</v>
      </c>
      <c r="D3" s="2" t="s">
        <v>17</v>
      </c>
      <c r="E3" s="2" t="s">
        <v>84</v>
      </c>
      <c r="G3" s="4"/>
      <c r="H3" s="4"/>
      <c r="I3" s="4"/>
      <c r="J3" s="4"/>
      <c r="K3" s="4"/>
      <c r="L3" s="4"/>
      <c r="N3" s="4"/>
    </row>
    <row r="4" spans="2:14" ht="12.75">
      <c r="B4" s="14"/>
      <c r="C4" s="14"/>
      <c r="G4" s="4"/>
      <c r="H4" s="4"/>
      <c r="I4" s="4"/>
      <c r="J4" s="4"/>
      <c r="L4" s="4"/>
      <c r="M4" s="4"/>
      <c r="N4" s="4"/>
    </row>
    <row r="5" spans="2:14" ht="12.75">
      <c r="B5" s="14"/>
      <c r="C5" s="14"/>
      <c r="G5" s="4"/>
      <c r="H5" s="4"/>
      <c r="I5" s="4"/>
      <c r="J5" s="4"/>
      <c r="K5" s="4" t="s">
        <v>114</v>
      </c>
      <c r="L5" s="4"/>
      <c r="M5" s="4"/>
      <c r="N5" s="4"/>
    </row>
    <row r="6" spans="1:14" ht="12.75">
      <c r="A6" s="3">
        <v>10</v>
      </c>
      <c r="B6" s="5" t="s">
        <v>60</v>
      </c>
      <c r="C6" s="5"/>
      <c r="G6" s="4" t="s">
        <v>124</v>
      </c>
      <c r="H6" s="4"/>
      <c r="I6" s="4" t="s">
        <v>125</v>
      </c>
      <c r="J6" s="4"/>
      <c r="K6" s="4" t="s">
        <v>126</v>
      </c>
      <c r="L6" s="4"/>
      <c r="M6" s="4" t="s">
        <v>18</v>
      </c>
      <c r="N6" s="4"/>
    </row>
    <row r="7" spans="2:14" ht="12.75">
      <c r="B7" s="2"/>
      <c r="C7" s="2"/>
      <c r="D7" s="14"/>
      <c r="E7" s="14"/>
      <c r="F7" s="14"/>
      <c r="G7" s="14"/>
      <c r="H7" s="14"/>
      <c r="I7" s="14"/>
      <c r="J7" s="14"/>
      <c r="K7" s="14"/>
      <c r="L7" s="14"/>
      <c r="M7" s="4"/>
      <c r="N7" s="4"/>
    </row>
    <row r="8" spans="2:14" ht="12.75">
      <c r="B8" s="2" t="s">
        <v>19</v>
      </c>
      <c r="C8" s="2" t="s">
        <v>131</v>
      </c>
      <c r="D8" s="2" t="s">
        <v>20</v>
      </c>
      <c r="E8" s="2" t="s">
        <v>21</v>
      </c>
      <c r="G8" s="6">
        <v>0.0181</v>
      </c>
      <c r="H8" s="6"/>
      <c r="I8" s="6">
        <v>0.0234</v>
      </c>
      <c r="J8" s="6"/>
      <c r="K8" s="6">
        <v>0.0138</v>
      </c>
      <c r="L8" s="6"/>
      <c r="M8" s="7">
        <f>AVERAGE(G8,I8,K8)</f>
        <v>0.018433333333333333</v>
      </c>
      <c r="N8" s="7"/>
    </row>
    <row r="9" spans="2:14" ht="12.75">
      <c r="B9" s="2" t="s">
        <v>99</v>
      </c>
      <c r="C9" s="2" t="s">
        <v>131</v>
      </c>
      <c r="D9" s="2" t="s">
        <v>22</v>
      </c>
      <c r="E9" s="2" t="s">
        <v>21</v>
      </c>
      <c r="G9" s="8">
        <v>21.97</v>
      </c>
      <c r="H9" s="8"/>
      <c r="I9" s="8">
        <v>14.14</v>
      </c>
      <c r="J9" s="8"/>
      <c r="K9" s="8">
        <v>14.53</v>
      </c>
      <c r="L9" s="8"/>
      <c r="M9" s="8">
        <f>AVERAGE(G9,I9,K9)</f>
        <v>16.88</v>
      </c>
      <c r="N9" s="7"/>
    </row>
    <row r="10" spans="2:14" ht="12.75">
      <c r="B10" s="2" t="s">
        <v>115</v>
      </c>
      <c r="C10" s="2" t="s">
        <v>131</v>
      </c>
      <c r="D10" s="2" t="s">
        <v>22</v>
      </c>
      <c r="E10" s="2" t="s">
        <v>21</v>
      </c>
      <c r="G10" s="8">
        <v>23.9</v>
      </c>
      <c r="H10" s="8"/>
      <c r="I10" s="8">
        <v>15.6</v>
      </c>
      <c r="J10" s="8"/>
      <c r="K10" s="8">
        <v>22.7</v>
      </c>
      <c r="L10" s="8"/>
      <c r="M10" s="8">
        <f>AVERAGE(G10,I10,K10)</f>
        <v>20.733333333333334</v>
      </c>
      <c r="N10" s="7"/>
    </row>
    <row r="11" spans="2:14" ht="12.75">
      <c r="B11" s="2" t="s">
        <v>23</v>
      </c>
      <c r="C11" s="2"/>
      <c r="D11" s="2" t="s">
        <v>22</v>
      </c>
      <c r="E11" s="2" t="s">
        <v>24</v>
      </c>
      <c r="G11" s="24">
        <f>1.895*24.055/36.465</f>
        <v>1.250081585081585</v>
      </c>
      <c r="H11" s="24"/>
      <c r="I11" s="24">
        <f>1.877*24.055/36.465</f>
        <v>1.238207459207459</v>
      </c>
      <c r="J11" s="24"/>
      <c r="K11" s="24">
        <f>1.714*24.055/36.465</f>
        <v>1.1306806526806525</v>
      </c>
      <c r="L11" s="24"/>
      <c r="M11" s="24">
        <f>AVERAGE(G11,I11,K11)</f>
        <v>1.2063232323232322</v>
      </c>
      <c r="N11" s="7"/>
    </row>
    <row r="12" spans="2:14" ht="12.75">
      <c r="B12" s="2" t="s">
        <v>98</v>
      </c>
      <c r="C12" s="2"/>
      <c r="D12" s="2" t="s">
        <v>22</v>
      </c>
      <c r="E12" s="2" t="s">
        <v>24</v>
      </c>
      <c r="G12" s="24">
        <v>0</v>
      </c>
      <c r="H12" s="24"/>
      <c r="I12" s="24">
        <v>0</v>
      </c>
      <c r="J12" s="24"/>
      <c r="K12" s="24">
        <v>0</v>
      </c>
      <c r="L12" s="24"/>
      <c r="M12" s="24">
        <f>AVERAGE(G12,I12,K12)</f>
        <v>0</v>
      </c>
      <c r="N12" s="4"/>
    </row>
    <row r="13" spans="2:14" ht="12.75">
      <c r="B13" s="3" t="s">
        <v>100</v>
      </c>
      <c r="D13" s="2" t="s">
        <v>32</v>
      </c>
      <c r="E13" s="2" t="s">
        <v>24</v>
      </c>
      <c r="F13" s="4"/>
      <c r="G13" s="11">
        <f>(0.496+6.3)/1.71</f>
        <v>3.974269005847953</v>
      </c>
      <c r="H13" s="11"/>
      <c r="I13" s="11">
        <f>(0.289+7.9)/1.69</f>
        <v>4.845562130177515</v>
      </c>
      <c r="J13" s="11"/>
      <c r="K13" s="11">
        <f>(0.92+8)/1.76</f>
        <v>5.068181818181818</v>
      </c>
      <c r="L13" s="11"/>
      <c r="M13" s="11">
        <f>AVERAGE(G13,I13,K13)</f>
        <v>4.6293376514024285</v>
      </c>
      <c r="N13" s="12"/>
    </row>
    <row r="14" spans="5:10" ht="12.75">
      <c r="E14" s="14"/>
      <c r="F14" s="4"/>
      <c r="G14" s="6"/>
      <c r="H14" s="4"/>
      <c r="I14" s="4"/>
      <c r="J14" s="4"/>
    </row>
    <row r="15" spans="2:12" ht="12.75">
      <c r="B15" s="2" t="s">
        <v>101</v>
      </c>
      <c r="C15" s="2" t="s">
        <v>94</v>
      </c>
      <c r="D15" s="2" t="s">
        <v>131</v>
      </c>
      <c r="G15" s="6"/>
      <c r="H15" s="6"/>
      <c r="I15" s="6"/>
      <c r="J15" s="6"/>
      <c r="K15" s="6"/>
      <c r="L15" s="6"/>
    </row>
    <row r="16" spans="2:14" ht="12.75">
      <c r="B16" s="2" t="s">
        <v>92</v>
      </c>
      <c r="C16" s="2"/>
      <c r="D16" s="2" t="s">
        <v>28</v>
      </c>
      <c r="G16" s="6">
        <v>199327</v>
      </c>
      <c r="H16" s="6"/>
      <c r="I16" s="9">
        <v>194365</v>
      </c>
      <c r="J16" s="9"/>
      <c r="K16" s="6">
        <v>195824</v>
      </c>
      <c r="L16" s="6"/>
      <c r="M16" s="9">
        <f>AVERAGE(G16:K16)</f>
        <v>196505.33333333334</v>
      </c>
      <c r="N16" s="9"/>
    </row>
    <row r="17" spans="2:14" ht="12.75">
      <c r="B17" s="2" t="s">
        <v>96</v>
      </c>
      <c r="C17" s="2"/>
      <c r="D17" s="2" t="s">
        <v>29</v>
      </c>
      <c r="G17" s="8">
        <v>6</v>
      </c>
      <c r="H17" s="8"/>
      <c r="I17" s="8">
        <v>6.2</v>
      </c>
      <c r="J17" s="8"/>
      <c r="K17" s="8">
        <v>6</v>
      </c>
      <c r="L17" s="8"/>
      <c r="M17" s="9">
        <f>AVERAGE(G17:K17)</f>
        <v>6.066666666666666</v>
      </c>
      <c r="N17" s="8"/>
    </row>
    <row r="18" spans="2:14" ht="12.75">
      <c r="B18" s="2" t="s">
        <v>97</v>
      </c>
      <c r="C18" s="2"/>
      <c r="D18" s="2" t="s">
        <v>29</v>
      </c>
      <c r="G18" s="6">
        <v>10.34</v>
      </c>
      <c r="H18" s="6"/>
      <c r="I18" s="6">
        <v>9.87</v>
      </c>
      <c r="J18" s="6"/>
      <c r="K18" s="6">
        <v>10.7</v>
      </c>
      <c r="L18" s="6"/>
      <c r="M18" s="9">
        <f>AVERAGE(G18:K18)</f>
        <v>10.303333333333333</v>
      </c>
      <c r="N18" s="8"/>
    </row>
    <row r="19" spans="2:14" ht="12.75">
      <c r="B19" s="2" t="s">
        <v>91</v>
      </c>
      <c r="C19" s="2"/>
      <c r="D19" s="2" t="s">
        <v>30</v>
      </c>
      <c r="G19" s="6">
        <v>367</v>
      </c>
      <c r="H19" s="6"/>
      <c r="I19" s="6">
        <v>374</v>
      </c>
      <c r="J19" s="6"/>
      <c r="K19" s="6">
        <v>372</v>
      </c>
      <c r="L19" s="6"/>
      <c r="M19" s="9">
        <f>AVERAGE(G19:K19)</f>
        <v>371</v>
      </c>
      <c r="N19" s="8"/>
    </row>
    <row r="20" spans="2:14" ht="12.75">
      <c r="B20" s="2"/>
      <c r="C20" s="2"/>
      <c r="G20" s="6"/>
      <c r="H20" s="6"/>
      <c r="I20" s="6"/>
      <c r="J20" s="6"/>
      <c r="K20" s="6"/>
      <c r="L20" s="6"/>
      <c r="M20" s="9"/>
      <c r="N20" s="9"/>
    </row>
    <row r="21" spans="2:14" ht="12.75">
      <c r="B21" s="2" t="s">
        <v>101</v>
      </c>
      <c r="C21" s="2" t="s">
        <v>95</v>
      </c>
      <c r="D21" s="2" t="s">
        <v>132</v>
      </c>
      <c r="G21" s="6"/>
      <c r="H21" s="6"/>
      <c r="I21" s="6"/>
      <c r="J21" s="6"/>
      <c r="K21" s="6"/>
      <c r="L21" s="6"/>
      <c r="M21" s="9"/>
      <c r="N21" s="9"/>
    </row>
    <row r="22" spans="2:14" ht="12.75">
      <c r="B22" s="2" t="s">
        <v>92</v>
      </c>
      <c r="C22" s="2"/>
      <c r="D22" s="2" t="s">
        <v>28</v>
      </c>
      <c r="G22" s="6">
        <v>191936</v>
      </c>
      <c r="H22" s="6"/>
      <c r="I22" s="9">
        <v>187742</v>
      </c>
      <c r="J22" s="9"/>
      <c r="K22" s="6">
        <v>194002</v>
      </c>
      <c r="L22" s="6"/>
      <c r="M22" s="9">
        <f>AVERAGE(G22:K22)</f>
        <v>191226.66666666666</v>
      </c>
      <c r="N22" s="9"/>
    </row>
    <row r="23" spans="2:14" ht="12.75">
      <c r="B23" s="2" t="s">
        <v>96</v>
      </c>
      <c r="C23" s="2"/>
      <c r="D23" s="2" t="s">
        <v>29</v>
      </c>
      <c r="G23" s="8">
        <v>6</v>
      </c>
      <c r="H23" s="8"/>
      <c r="I23" s="8">
        <v>6.2</v>
      </c>
      <c r="J23" s="8"/>
      <c r="K23" s="8">
        <v>6</v>
      </c>
      <c r="L23" s="8"/>
      <c r="M23" s="9">
        <f>AVERAGE(G23:K23)</f>
        <v>6.066666666666666</v>
      </c>
      <c r="N23" s="8"/>
    </row>
    <row r="24" spans="2:14" ht="12.75">
      <c r="B24" s="2" t="s">
        <v>97</v>
      </c>
      <c r="C24" s="2"/>
      <c r="D24" s="2" t="s">
        <v>29</v>
      </c>
      <c r="G24" s="6">
        <v>10.2</v>
      </c>
      <c r="H24" s="6"/>
      <c r="I24" s="6">
        <v>10</v>
      </c>
      <c r="J24" s="6"/>
      <c r="K24" s="6">
        <v>10.2</v>
      </c>
      <c r="L24" s="6"/>
      <c r="M24" s="9">
        <f>AVERAGE(G24:K24)</f>
        <v>10.133333333333333</v>
      </c>
      <c r="N24" s="8"/>
    </row>
    <row r="25" spans="2:14" ht="12.75">
      <c r="B25" s="2" t="s">
        <v>91</v>
      </c>
      <c r="C25" s="2"/>
      <c r="D25" s="2" t="s">
        <v>30</v>
      </c>
      <c r="G25" s="6">
        <v>371</v>
      </c>
      <c r="H25" s="6"/>
      <c r="I25" s="6">
        <v>378</v>
      </c>
      <c r="J25" s="6"/>
      <c r="K25" s="6">
        <v>377</v>
      </c>
      <c r="L25" s="6"/>
      <c r="M25" s="9">
        <f>AVERAGE(G25:K25)</f>
        <v>375.3333333333333</v>
      </c>
      <c r="N25" s="8"/>
    </row>
    <row r="26" spans="2:12" ht="12.75">
      <c r="B26" s="2"/>
      <c r="C26" s="2"/>
      <c r="G26" s="6"/>
      <c r="H26" s="6"/>
      <c r="I26" s="6"/>
      <c r="J26" s="6"/>
      <c r="K26" s="6"/>
      <c r="L26" s="6"/>
    </row>
    <row r="27" spans="2:14" ht="12.75">
      <c r="B27" s="2" t="s">
        <v>23</v>
      </c>
      <c r="C27" s="2" t="s">
        <v>131</v>
      </c>
      <c r="D27" s="2" t="s">
        <v>22</v>
      </c>
      <c r="E27" s="2" t="s">
        <v>21</v>
      </c>
      <c r="G27" s="11">
        <f>G11*(21-7)/(21-G17)</f>
        <v>1.1667428127428126</v>
      </c>
      <c r="H27" s="11"/>
      <c r="I27" s="11">
        <f>I11*(21-7)/(21-I17)</f>
        <v>1.1712773262773262</v>
      </c>
      <c r="J27" s="11"/>
      <c r="K27" s="11">
        <f>K11*(21-7)/(21-K17)</f>
        <v>1.0553019425019423</v>
      </c>
      <c r="L27" s="11"/>
      <c r="M27" s="11">
        <f>AVERAGE(K27,I27,G27)</f>
        <v>1.1311073605073603</v>
      </c>
      <c r="N27" s="11"/>
    </row>
    <row r="28" spans="2:14" ht="12.75">
      <c r="B28" s="2" t="s">
        <v>31</v>
      </c>
      <c r="C28" s="2" t="s">
        <v>131</v>
      </c>
      <c r="D28" s="2" t="s">
        <v>22</v>
      </c>
      <c r="E28" s="2" t="s">
        <v>21</v>
      </c>
      <c r="G28" s="11">
        <f>G12*(21-7)/(21-G17)</f>
        <v>0</v>
      </c>
      <c r="H28" s="11"/>
      <c r="I28" s="11">
        <f>I12*(21-7)/(21-I17)</f>
        <v>0</v>
      </c>
      <c r="J28" s="11"/>
      <c r="K28" s="11">
        <f>K12*(21-7)/(21-K17)</f>
        <v>0</v>
      </c>
      <c r="L28" s="11"/>
      <c r="M28" s="11">
        <f>AVERAGE(K28,I28,G28)</f>
        <v>0</v>
      </c>
      <c r="N28" s="11"/>
    </row>
    <row r="29" spans="2:14" ht="12.75">
      <c r="B29" s="2" t="s">
        <v>98</v>
      </c>
      <c r="C29" s="2" t="s">
        <v>131</v>
      </c>
      <c r="D29" s="2" t="s">
        <v>22</v>
      </c>
      <c r="E29" s="2" t="s">
        <v>21</v>
      </c>
      <c r="G29" s="11">
        <f>G27+2*G28</f>
        <v>1.1667428127428126</v>
      </c>
      <c r="H29" s="11"/>
      <c r="I29" s="11">
        <f>I27+2*I28</f>
        <v>1.1712773262773262</v>
      </c>
      <c r="J29" s="11"/>
      <c r="K29" s="11">
        <f>K27+2*K28</f>
        <v>1.0553019425019423</v>
      </c>
      <c r="L29" s="11"/>
      <c r="M29" s="11">
        <f>AVERAGE(K29,I29,G29)</f>
        <v>1.1311073605073603</v>
      </c>
      <c r="N29" s="11"/>
    </row>
    <row r="30" spans="2:13" ht="12.75">
      <c r="B30" s="3" t="s">
        <v>100</v>
      </c>
      <c r="C30" s="2" t="s">
        <v>132</v>
      </c>
      <c r="D30" s="2" t="s">
        <v>32</v>
      </c>
      <c r="E30" s="2" t="s">
        <v>21</v>
      </c>
      <c r="F30" s="4"/>
      <c r="G30" s="11">
        <f>G13*(21-7)/(21-G23)</f>
        <v>3.7093177387914227</v>
      </c>
      <c r="H30" s="11"/>
      <c r="I30" s="11">
        <f>I13*(21-7)/(21-I23)</f>
        <v>4.583639852870623</v>
      </c>
      <c r="J30" s="11"/>
      <c r="K30" s="11">
        <f>K13*(21-7)/(21-K23)</f>
        <v>4.7303030303030305</v>
      </c>
      <c r="L30" s="11"/>
      <c r="M30" s="11">
        <f>AVERAGE(K30,I30,G30)</f>
        <v>4.341086873988359</v>
      </c>
    </row>
    <row r="31" spans="2:13" ht="12.75">
      <c r="B31" s="3" t="s">
        <v>34</v>
      </c>
      <c r="C31" s="2" t="s">
        <v>132</v>
      </c>
      <c r="D31" s="2" t="s">
        <v>32</v>
      </c>
      <c r="E31" s="2" t="s">
        <v>21</v>
      </c>
      <c r="F31" s="4"/>
      <c r="G31" s="11">
        <v>3.7</v>
      </c>
      <c r="H31" s="11"/>
      <c r="I31" s="11">
        <v>4.6</v>
      </c>
      <c r="J31" s="11"/>
      <c r="K31" s="11">
        <v>4.7</v>
      </c>
      <c r="L31" s="11"/>
      <c r="M31" s="11">
        <v>4.3</v>
      </c>
    </row>
    <row r="33" spans="1:13" ht="12.75">
      <c r="A33" s="3">
        <v>11</v>
      </c>
      <c r="B33" s="5" t="s">
        <v>59</v>
      </c>
      <c r="C33" s="5"/>
      <c r="F33" s="3"/>
      <c r="G33" s="4" t="s">
        <v>124</v>
      </c>
      <c r="H33" s="4"/>
      <c r="I33" s="4" t="s">
        <v>125</v>
      </c>
      <c r="J33" s="4"/>
      <c r="K33" s="4" t="s">
        <v>126</v>
      </c>
      <c r="L33" s="4"/>
      <c r="M33" s="4" t="s">
        <v>18</v>
      </c>
    </row>
    <row r="34" spans="2:6" ht="12.75">
      <c r="B34" s="2"/>
      <c r="C34" s="2"/>
      <c r="D34" s="14"/>
      <c r="F34" s="3"/>
    </row>
    <row r="35" spans="2:13" ht="12.75">
      <c r="B35" s="2" t="s">
        <v>99</v>
      </c>
      <c r="C35" s="2" t="s">
        <v>131</v>
      </c>
      <c r="D35" s="2" t="s">
        <v>22</v>
      </c>
      <c r="E35" s="2" t="s">
        <v>21</v>
      </c>
      <c r="F35" s="3"/>
      <c r="G35" s="11">
        <v>10.26</v>
      </c>
      <c r="H35" s="11"/>
      <c r="I35" s="11">
        <v>10.1</v>
      </c>
      <c r="J35" s="11"/>
      <c r="K35" s="11">
        <v>5.92</v>
      </c>
      <c r="L35" s="11"/>
      <c r="M35" s="11">
        <f>AVERAGE(G35:K35)</f>
        <v>8.76</v>
      </c>
    </row>
    <row r="36" spans="2:13" ht="12.75">
      <c r="B36" s="2" t="s">
        <v>115</v>
      </c>
      <c r="C36" s="2" t="s">
        <v>131</v>
      </c>
      <c r="D36" s="2" t="s">
        <v>22</v>
      </c>
      <c r="E36" s="2" t="s">
        <v>21</v>
      </c>
      <c r="F36" s="3"/>
      <c r="G36" s="11">
        <v>16.9</v>
      </c>
      <c r="H36" s="11"/>
      <c r="I36" s="11">
        <v>13.8</v>
      </c>
      <c r="J36" s="11"/>
      <c r="K36" s="11">
        <v>7</v>
      </c>
      <c r="L36" s="11"/>
      <c r="M36" s="11">
        <f>AVERAGE(G36:K36)</f>
        <v>12.566666666666668</v>
      </c>
    </row>
    <row r="37" ht="12.75">
      <c r="F37" s="3"/>
    </row>
    <row r="38" spans="2:6" ht="12.75">
      <c r="B38" s="2" t="s">
        <v>101</v>
      </c>
      <c r="C38" s="2" t="s">
        <v>47</v>
      </c>
      <c r="D38" s="2" t="s">
        <v>131</v>
      </c>
      <c r="F38" s="3"/>
    </row>
    <row r="39" spans="2:6" ht="12.75">
      <c r="B39" s="2" t="s">
        <v>92</v>
      </c>
      <c r="C39" s="2"/>
      <c r="D39" s="2" t="s">
        <v>28</v>
      </c>
      <c r="F39" s="3"/>
    </row>
    <row r="40" spans="2:13" ht="12.75">
      <c r="B40" s="2" t="s">
        <v>96</v>
      </c>
      <c r="C40" s="2"/>
      <c r="D40" s="2" t="s">
        <v>29</v>
      </c>
      <c r="F40" s="3"/>
      <c r="G40" s="3">
        <v>4.2</v>
      </c>
      <c r="I40" s="3">
        <v>4.14</v>
      </c>
      <c r="K40" s="3">
        <v>4.18</v>
      </c>
      <c r="M40" s="11">
        <f>AVERAGE(G40:K40)</f>
        <v>4.173333333333333</v>
      </c>
    </row>
    <row r="41" spans="2:4" ht="12.75">
      <c r="B41" s="2" t="s">
        <v>97</v>
      </c>
      <c r="C41" s="2"/>
      <c r="D41" s="2" t="s">
        <v>29</v>
      </c>
    </row>
    <row r="42" spans="2:4" ht="12.75">
      <c r="B42" s="2" t="s">
        <v>91</v>
      </c>
      <c r="C42" s="2"/>
      <c r="D42" s="2" t="s">
        <v>30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64"/>
  <sheetViews>
    <sheetView zoomScale="75" zoomScaleNormal="75" workbookViewId="0" topLeftCell="B1">
      <selection activeCell="F29" sqref="F29:AB29"/>
    </sheetView>
  </sheetViews>
  <sheetFormatPr defaultColWidth="9.140625" defaultRowHeight="12.75"/>
  <cols>
    <col min="1" max="1" width="9.7109375" style="3" hidden="1" customWidth="1"/>
    <col min="2" max="2" width="21.28125" style="2" customWidth="1"/>
    <col min="3" max="3" width="7.7109375" style="2" customWidth="1"/>
    <col min="4" max="4" width="8.140625" style="2" customWidth="1"/>
    <col min="5" max="5" width="3.7109375" style="3" customWidth="1"/>
    <col min="6" max="6" width="8.28125" style="6" customWidth="1"/>
    <col min="7" max="7" width="4.28125" style="3" customWidth="1"/>
    <col min="8" max="8" width="8.140625" style="3" customWidth="1"/>
    <col min="9" max="9" width="4.421875" style="3" customWidth="1"/>
    <col min="10" max="10" width="7.8515625" style="3" customWidth="1"/>
    <col min="11" max="11" width="4.421875" style="3" customWidth="1"/>
    <col min="12" max="12" width="8.8515625" style="3" customWidth="1"/>
    <col min="13" max="13" width="3.8515625" style="4" customWidth="1"/>
    <col min="14" max="14" width="10.00390625" style="4" customWidth="1"/>
    <col min="15" max="15" width="4.140625" style="4" customWidth="1"/>
    <col min="16" max="16" width="10.57421875" style="4" customWidth="1"/>
    <col min="17" max="17" width="3.8515625" style="4" customWidth="1"/>
    <col min="18" max="18" width="10.28125" style="4" customWidth="1"/>
    <col min="19" max="19" width="3.7109375" style="4" customWidth="1"/>
    <col min="20" max="20" width="8.8515625" style="3" customWidth="1"/>
    <col min="21" max="21" width="3.140625" style="3" customWidth="1"/>
    <col min="22" max="22" width="9.57421875" style="3" customWidth="1"/>
    <col min="23" max="23" width="3.140625" style="3" customWidth="1"/>
    <col min="24" max="24" width="7.7109375" style="3" customWidth="1"/>
    <col min="25" max="25" width="3.140625" style="3" customWidth="1"/>
    <col min="26" max="26" width="8.57421875" style="3" customWidth="1"/>
    <col min="27" max="27" width="3.140625" style="3" customWidth="1"/>
    <col min="28" max="28" width="8.8515625" style="3" customWidth="1"/>
    <col min="29" max="29" width="3.00390625" style="3" customWidth="1"/>
    <col min="30" max="30" width="8.8515625" style="3" customWidth="1"/>
    <col min="31" max="31" width="2.57421875" style="3" customWidth="1"/>
    <col min="32" max="32" width="10.00390625" style="3" customWidth="1"/>
    <col min="33" max="33" width="3.140625" style="3" customWidth="1"/>
    <col min="34" max="34" width="8.8515625" style="3" customWidth="1"/>
    <col min="35" max="35" width="3.140625" style="3" customWidth="1"/>
    <col min="36" max="36" width="8.8515625" style="3" customWidth="1"/>
    <col min="37" max="37" width="5.28125" style="3" customWidth="1"/>
    <col min="38" max="38" width="8.8515625" style="3" customWidth="1"/>
    <col min="39" max="39" width="4.7109375" style="3" customWidth="1"/>
    <col min="40" max="40" width="8.8515625" style="3" customWidth="1"/>
    <col min="41" max="41" width="4.57421875" style="3" customWidth="1"/>
    <col min="42" max="42" width="9.8515625" style="3" customWidth="1"/>
    <col min="43" max="43" width="3.7109375" style="3" customWidth="1"/>
    <col min="44" max="16384" width="8.8515625" style="3" customWidth="1"/>
  </cols>
  <sheetData>
    <row r="1" spans="2:3" ht="12.75">
      <c r="B1" s="5" t="s">
        <v>75</v>
      </c>
      <c r="C1" s="5"/>
    </row>
    <row r="2" spans="6:38" ht="12.75">
      <c r="F2" s="4"/>
      <c r="G2" s="4"/>
      <c r="H2" s="4"/>
      <c r="I2" s="4"/>
      <c r="J2" s="4"/>
      <c r="K2" s="4"/>
      <c r="L2" s="4"/>
      <c r="T2" s="4"/>
      <c r="U2" s="4"/>
      <c r="V2" s="4"/>
      <c r="W2" s="4"/>
      <c r="X2" s="4"/>
      <c r="Y2" s="4"/>
      <c r="Z2" s="4"/>
      <c r="AA2" s="4"/>
      <c r="AB2" s="4"/>
      <c r="AC2" s="4"/>
      <c r="AL2" s="4"/>
    </row>
    <row r="3" spans="1:44" ht="12.75">
      <c r="A3" s="3" t="s">
        <v>109</v>
      </c>
      <c r="B3" s="5" t="s">
        <v>60</v>
      </c>
      <c r="C3" s="5"/>
      <c r="F3" s="4" t="s">
        <v>124</v>
      </c>
      <c r="G3" s="4"/>
      <c r="H3" s="4" t="s">
        <v>125</v>
      </c>
      <c r="I3" s="4"/>
      <c r="J3" s="4" t="s">
        <v>126</v>
      </c>
      <c r="K3" s="4"/>
      <c r="L3" s="2" t="s">
        <v>18</v>
      </c>
      <c r="N3" s="4" t="s">
        <v>124</v>
      </c>
      <c r="P3" s="4" t="s">
        <v>125</v>
      </c>
      <c r="R3" s="4" t="s">
        <v>126</v>
      </c>
      <c r="T3" s="2" t="s">
        <v>18</v>
      </c>
      <c r="V3" s="4" t="s">
        <v>124</v>
      </c>
      <c r="W3" s="4"/>
      <c r="X3" s="4" t="s">
        <v>125</v>
      </c>
      <c r="Y3" s="4"/>
      <c r="Z3" s="4" t="s">
        <v>126</v>
      </c>
      <c r="AA3" s="4"/>
      <c r="AB3" s="2" t="s">
        <v>18</v>
      </c>
      <c r="AD3" s="4" t="s">
        <v>124</v>
      </c>
      <c r="AE3" s="4"/>
      <c r="AF3" s="4" t="s">
        <v>125</v>
      </c>
      <c r="AG3" s="4"/>
      <c r="AH3" s="4" t="s">
        <v>126</v>
      </c>
      <c r="AI3" s="4"/>
      <c r="AJ3" s="2" t="s">
        <v>18</v>
      </c>
      <c r="AL3" s="4" t="s">
        <v>124</v>
      </c>
      <c r="AM3" s="4"/>
      <c r="AN3" s="4" t="s">
        <v>125</v>
      </c>
      <c r="AO3" s="4"/>
      <c r="AP3" s="4" t="s">
        <v>126</v>
      </c>
      <c r="AQ3" s="4"/>
      <c r="AR3" s="2" t="s">
        <v>18</v>
      </c>
    </row>
    <row r="4" spans="2:44" ht="12.75">
      <c r="B4" s="5"/>
      <c r="C4" s="5"/>
      <c r="F4" s="4"/>
      <c r="G4" s="4"/>
      <c r="H4" s="4"/>
      <c r="I4" s="4"/>
      <c r="J4" s="4"/>
      <c r="K4" s="4"/>
      <c r="L4" s="2"/>
      <c r="T4" s="2"/>
      <c r="V4" s="4"/>
      <c r="W4" s="4"/>
      <c r="X4" s="4"/>
      <c r="Y4" s="4"/>
      <c r="Z4" s="4"/>
      <c r="AA4" s="4"/>
      <c r="AB4" s="2"/>
      <c r="AD4" s="4"/>
      <c r="AE4" s="4"/>
      <c r="AF4" s="4"/>
      <c r="AG4" s="4"/>
      <c r="AH4" s="4"/>
      <c r="AI4" s="4"/>
      <c r="AJ4" s="2"/>
      <c r="AL4" s="4"/>
      <c r="AM4" s="4"/>
      <c r="AN4" s="4"/>
      <c r="AO4" s="4"/>
      <c r="AP4" s="4"/>
      <c r="AQ4" s="4"/>
      <c r="AR4" s="2"/>
    </row>
    <row r="5" spans="2:44" ht="12.75">
      <c r="B5" s="33" t="s">
        <v>127</v>
      </c>
      <c r="C5" s="5"/>
      <c r="F5" s="4" t="s">
        <v>145</v>
      </c>
      <c r="G5" s="4"/>
      <c r="H5" s="4" t="s">
        <v>145</v>
      </c>
      <c r="I5" s="4"/>
      <c r="J5" s="4" t="s">
        <v>145</v>
      </c>
      <c r="K5" s="4"/>
      <c r="L5" s="4" t="s">
        <v>145</v>
      </c>
      <c r="N5" s="4" t="s">
        <v>146</v>
      </c>
      <c r="P5" s="4" t="s">
        <v>146</v>
      </c>
      <c r="R5" s="4" t="s">
        <v>146</v>
      </c>
      <c r="T5" s="4" t="s">
        <v>146</v>
      </c>
      <c r="V5" s="4" t="s">
        <v>147</v>
      </c>
      <c r="W5" s="4"/>
      <c r="X5" s="4" t="s">
        <v>147</v>
      </c>
      <c r="Y5" s="4"/>
      <c r="Z5" s="4" t="s">
        <v>147</v>
      </c>
      <c r="AA5" s="4"/>
      <c r="AB5" s="4" t="s">
        <v>147</v>
      </c>
      <c r="AD5" s="4" t="s">
        <v>148</v>
      </c>
      <c r="AE5" s="4"/>
      <c r="AF5" s="4" t="s">
        <v>148</v>
      </c>
      <c r="AG5" s="4"/>
      <c r="AH5" s="4" t="s">
        <v>148</v>
      </c>
      <c r="AI5" s="4"/>
      <c r="AJ5" s="4" t="s">
        <v>148</v>
      </c>
      <c r="AL5" s="4" t="s">
        <v>149</v>
      </c>
      <c r="AM5" s="4"/>
      <c r="AN5" s="4" t="s">
        <v>149</v>
      </c>
      <c r="AO5" s="4"/>
      <c r="AP5" s="4" t="s">
        <v>149</v>
      </c>
      <c r="AQ5" s="4"/>
      <c r="AR5" s="4" t="s">
        <v>149</v>
      </c>
    </row>
    <row r="6" spans="2:44" ht="12.75">
      <c r="B6" s="33" t="s">
        <v>128</v>
      </c>
      <c r="F6" s="6" t="s">
        <v>129</v>
      </c>
      <c r="H6" s="6" t="s">
        <v>129</v>
      </c>
      <c r="J6" s="6" t="s">
        <v>129</v>
      </c>
      <c r="L6" s="6" t="s">
        <v>129</v>
      </c>
      <c r="N6" s="6" t="s">
        <v>57</v>
      </c>
      <c r="O6" s="6"/>
      <c r="P6" s="6" t="s">
        <v>57</v>
      </c>
      <c r="Q6" s="6"/>
      <c r="R6" s="6" t="s">
        <v>57</v>
      </c>
      <c r="S6" s="6"/>
      <c r="T6" s="6" t="s">
        <v>57</v>
      </c>
      <c r="U6" s="6"/>
      <c r="V6" s="6" t="s">
        <v>48</v>
      </c>
      <c r="W6" s="6"/>
      <c r="X6" s="6" t="s">
        <v>48</v>
      </c>
      <c r="Y6" s="6"/>
      <c r="Z6" s="6" t="s">
        <v>48</v>
      </c>
      <c r="AA6" s="6"/>
      <c r="AB6" s="6" t="s">
        <v>48</v>
      </c>
      <c r="AD6" s="3" t="s">
        <v>130</v>
      </c>
      <c r="AF6" s="3" t="s">
        <v>130</v>
      </c>
      <c r="AH6" s="3" t="s">
        <v>130</v>
      </c>
      <c r="AJ6" s="3" t="s">
        <v>130</v>
      </c>
      <c r="AL6" s="6" t="s">
        <v>58</v>
      </c>
      <c r="AN6" s="6" t="s">
        <v>58</v>
      </c>
      <c r="AP6" s="6" t="s">
        <v>58</v>
      </c>
      <c r="AR6" s="6" t="s">
        <v>58</v>
      </c>
    </row>
    <row r="7" spans="2:44" ht="12.75">
      <c r="B7" s="33" t="s">
        <v>151</v>
      </c>
      <c r="F7" s="6" t="s">
        <v>46</v>
      </c>
      <c r="H7" s="6" t="s">
        <v>46</v>
      </c>
      <c r="J7" s="6" t="s">
        <v>46</v>
      </c>
      <c r="L7" s="6" t="s">
        <v>46</v>
      </c>
      <c r="N7" s="6" t="s">
        <v>57</v>
      </c>
      <c r="O7" s="6"/>
      <c r="P7" s="6" t="s">
        <v>57</v>
      </c>
      <c r="Q7" s="6"/>
      <c r="R7" s="6" t="s">
        <v>57</v>
      </c>
      <c r="S7" s="6"/>
      <c r="T7" s="6" t="s">
        <v>57</v>
      </c>
      <c r="U7" s="6"/>
      <c r="V7" s="6" t="s">
        <v>48</v>
      </c>
      <c r="W7" s="6"/>
      <c r="X7" s="6" t="s">
        <v>48</v>
      </c>
      <c r="Y7" s="6"/>
      <c r="Z7" s="6" t="s">
        <v>48</v>
      </c>
      <c r="AA7" s="6"/>
      <c r="AB7" s="6" t="s">
        <v>48</v>
      </c>
      <c r="AL7" s="6" t="s">
        <v>58</v>
      </c>
      <c r="AN7" s="6" t="s">
        <v>58</v>
      </c>
      <c r="AP7" s="6" t="s">
        <v>58</v>
      </c>
      <c r="AR7" s="6" t="s">
        <v>58</v>
      </c>
    </row>
    <row r="8" spans="2:44" ht="12.75">
      <c r="B8" s="2" t="s">
        <v>35</v>
      </c>
      <c r="F8" s="6" t="s">
        <v>79</v>
      </c>
      <c r="G8" s="4"/>
      <c r="H8" s="6" t="s">
        <v>79</v>
      </c>
      <c r="I8" s="4"/>
      <c r="J8" s="6" t="s">
        <v>79</v>
      </c>
      <c r="K8" s="4"/>
      <c r="L8" s="6" t="s">
        <v>79</v>
      </c>
      <c r="M8" s="6"/>
      <c r="N8" s="6" t="s">
        <v>57</v>
      </c>
      <c r="O8" s="6"/>
      <c r="P8" s="6" t="s">
        <v>57</v>
      </c>
      <c r="Q8" s="6"/>
      <c r="R8" s="6" t="s">
        <v>57</v>
      </c>
      <c r="S8" s="6"/>
      <c r="T8" s="6" t="s">
        <v>57</v>
      </c>
      <c r="U8" s="6"/>
      <c r="V8" s="6" t="s">
        <v>48</v>
      </c>
      <c r="W8" s="6"/>
      <c r="X8" s="6" t="s">
        <v>48</v>
      </c>
      <c r="Y8" s="6"/>
      <c r="Z8" s="6" t="s">
        <v>48</v>
      </c>
      <c r="AA8" s="6"/>
      <c r="AB8" s="6" t="s">
        <v>48</v>
      </c>
      <c r="AC8" s="6"/>
      <c r="AD8" s="6" t="s">
        <v>78</v>
      </c>
      <c r="AE8" s="6"/>
      <c r="AF8" s="6" t="s">
        <v>78</v>
      </c>
      <c r="AH8" s="6" t="s">
        <v>78</v>
      </c>
      <c r="AJ8" s="6" t="s">
        <v>78</v>
      </c>
      <c r="AL8" s="6" t="s">
        <v>58</v>
      </c>
      <c r="AN8" s="6" t="s">
        <v>58</v>
      </c>
      <c r="AP8" s="6" t="s">
        <v>58</v>
      </c>
      <c r="AR8" s="6" t="s">
        <v>58</v>
      </c>
    </row>
    <row r="9" spans="2:38" ht="12.75">
      <c r="B9" s="2" t="s">
        <v>112</v>
      </c>
      <c r="D9" s="2" t="s">
        <v>26</v>
      </c>
      <c r="F9" s="9">
        <v>16850</v>
      </c>
      <c r="G9" s="13"/>
      <c r="H9" s="9">
        <v>17420</v>
      </c>
      <c r="I9" s="13"/>
      <c r="J9" s="13">
        <v>17280</v>
      </c>
      <c r="K9" s="13"/>
      <c r="L9" s="13">
        <f>AVERAGE(F9,H9,J9)</f>
        <v>17183.333333333332</v>
      </c>
      <c r="N9" s="4">
        <v>58980</v>
      </c>
      <c r="P9" s="4">
        <v>57820</v>
      </c>
      <c r="R9" s="4">
        <v>59060</v>
      </c>
      <c r="T9" s="13">
        <f>AVERAGE(29.49,28.91,29.53)*2000</f>
        <v>58620.00000000001</v>
      </c>
      <c r="U9" s="13"/>
      <c r="V9" s="13"/>
      <c r="W9" s="13"/>
      <c r="X9" s="13"/>
      <c r="Y9" s="13"/>
      <c r="Z9" s="13"/>
      <c r="AA9" s="13"/>
      <c r="AB9" s="13"/>
      <c r="AC9" s="13"/>
      <c r="AL9" s="13"/>
    </row>
    <row r="10" spans="2:38" ht="12.75">
      <c r="B10" s="2" t="s">
        <v>112</v>
      </c>
      <c r="D10" s="2" t="s">
        <v>80</v>
      </c>
      <c r="F10" s="9"/>
      <c r="G10" s="13"/>
      <c r="H10" s="9"/>
      <c r="I10" s="13"/>
      <c r="J10" s="13"/>
      <c r="K10" s="13"/>
      <c r="L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3">
        <v>685.75</v>
      </c>
      <c r="AF10" s="3">
        <v>680.21</v>
      </c>
      <c r="AH10" s="3">
        <v>681.01</v>
      </c>
      <c r="AJ10" s="3">
        <v>682.32</v>
      </c>
      <c r="AL10" s="13"/>
    </row>
    <row r="11" spans="2:20" ht="12.75">
      <c r="B11" s="2" t="s">
        <v>36</v>
      </c>
      <c r="D11" s="2" t="s">
        <v>37</v>
      </c>
      <c r="E11" s="4"/>
      <c r="F11" s="6">
        <v>10149</v>
      </c>
      <c r="G11" s="4"/>
      <c r="H11" s="6">
        <v>10842</v>
      </c>
      <c r="I11" s="4"/>
      <c r="J11" s="6">
        <v>10615</v>
      </c>
      <c r="K11" s="6"/>
      <c r="L11" s="13">
        <f>AVERAGE(F11,H11,J11)</f>
        <v>10535.333333333334</v>
      </c>
      <c r="N11" s="6">
        <v>12209</v>
      </c>
      <c r="O11" s="6"/>
      <c r="P11" s="6">
        <v>12324</v>
      </c>
      <c r="Q11" s="6"/>
      <c r="R11" s="6">
        <v>12290</v>
      </c>
      <c r="T11" s="3">
        <f>AVERAGE(12209,12324,12290)</f>
        <v>12274.333333333334</v>
      </c>
    </row>
    <row r="12" spans="2:38" ht="12.75">
      <c r="B12" s="2" t="s">
        <v>38</v>
      </c>
      <c r="D12" s="2" t="s">
        <v>26</v>
      </c>
      <c r="E12" s="4"/>
      <c r="F12" s="9">
        <v>40.44</v>
      </c>
      <c r="G12" s="9"/>
      <c r="H12" s="9">
        <v>60.97</v>
      </c>
      <c r="I12" s="9"/>
      <c r="J12" s="9">
        <v>50.112</v>
      </c>
      <c r="K12" s="9"/>
      <c r="L12" s="13">
        <f>AVERAGE(F12,H12,J12)</f>
        <v>50.50733333333333</v>
      </c>
      <c r="M12" s="20"/>
      <c r="N12" s="9">
        <v>5715</v>
      </c>
      <c r="O12" s="20"/>
      <c r="P12" s="9">
        <v>5279</v>
      </c>
      <c r="Q12" s="9"/>
      <c r="R12" s="9">
        <v>5434</v>
      </c>
      <c r="S12" s="20"/>
      <c r="T12" s="13">
        <f aca="true" t="shared" si="0" ref="T12:T26">AVERAGE(N12,P12,R12)</f>
        <v>5476</v>
      </c>
      <c r="U12" s="9"/>
      <c r="V12" s="9"/>
      <c r="W12" s="9"/>
      <c r="X12" s="9"/>
      <c r="Y12" s="9"/>
      <c r="Z12" s="9"/>
      <c r="AA12" s="9"/>
      <c r="AB12" s="9"/>
      <c r="AC12" s="29"/>
      <c r="AL12" s="29"/>
    </row>
    <row r="13" spans="2:38" ht="12.75">
      <c r="B13" s="2" t="s">
        <v>25</v>
      </c>
      <c r="D13" s="2" t="s">
        <v>26</v>
      </c>
      <c r="E13" s="4"/>
      <c r="F13" s="6">
        <v>0.77</v>
      </c>
      <c r="G13" s="6" t="s">
        <v>27</v>
      </c>
      <c r="H13" s="6">
        <v>0.17</v>
      </c>
      <c r="I13" s="6" t="s">
        <v>27</v>
      </c>
      <c r="J13" s="25">
        <v>0.17</v>
      </c>
      <c r="K13" s="6"/>
      <c r="L13" s="11">
        <f>AVERAGE(J13,H13,F13)</f>
        <v>0.37000000000000005</v>
      </c>
      <c r="M13" s="4" t="s">
        <v>27</v>
      </c>
      <c r="N13" s="6">
        <v>1.77</v>
      </c>
      <c r="O13" s="4" t="s">
        <v>27</v>
      </c>
      <c r="P13" s="6">
        <v>1.73</v>
      </c>
      <c r="Q13" s="4" t="s">
        <v>27</v>
      </c>
      <c r="R13" s="6">
        <v>1.77</v>
      </c>
      <c r="T13" s="10">
        <f t="shared" si="0"/>
        <v>1.7566666666666666</v>
      </c>
      <c r="U13" s="10"/>
      <c r="V13" s="10"/>
      <c r="W13" s="10"/>
      <c r="X13" s="10"/>
      <c r="Y13" s="10"/>
      <c r="Z13" s="10"/>
      <c r="AA13" s="10"/>
      <c r="AC13" s="29"/>
      <c r="AL13" s="29"/>
    </row>
    <row r="14" spans="2:38" ht="12.75">
      <c r="B14" s="2" t="s">
        <v>105</v>
      </c>
      <c r="D14" s="2" t="s">
        <v>26</v>
      </c>
      <c r="E14" s="4" t="s">
        <v>27</v>
      </c>
      <c r="F14" s="6">
        <f>0.1</f>
        <v>0.1</v>
      </c>
      <c r="G14" s="4" t="s">
        <v>27</v>
      </c>
      <c r="H14" s="6">
        <f>0.1</f>
        <v>0.1</v>
      </c>
      <c r="I14" s="4" t="s">
        <v>27</v>
      </c>
      <c r="J14" s="25">
        <f>0.1</f>
        <v>0.1</v>
      </c>
      <c r="K14" s="4"/>
      <c r="L14" s="10">
        <f>AVERAGE(F14,H14,J14)</f>
        <v>0.10000000000000002</v>
      </c>
      <c r="M14" s="4" t="s">
        <v>27</v>
      </c>
      <c r="N14" s="6">
        <v>0.35</v>
      </c>
      <c r="O14" s="4" t="s">
        <v>27</v>
      </c>
      <c r="P14" s="6">
        <v>0.35</v>
      </c>
      <c r="Q14" s="4" t="s">
        <v>27</v>
      </c>
      <c r="R14" s="6">
        <v>0.35</v>
      </c>
      <c r="T14" s="10">
        <f t="shared" si="0"/>
        <v>0.3499999999999999</v>
      </c>
      <c r="U14" s="10"/>
      <c r="V14" s="10"/>
      <c r="W14" s="10"/>
      <c r="X14" s="10"/>
      <c r="Y14" s="10"/>
      <c r="Z14" s="10"/>
      <c r="AA14" s="10"/>
      <c r="AC14" s="29"/>
      <c r="AL14" s="29"/>
    </row>
    <row r="15" spans="2:38" ht="12.75">
      <c r="B15" s="2" t="s">
        <v>102</v>
      </c>
      <c r="D15" s="2" t="s">
        <v>26</v>
      </c>
      <c r="E15" s="4" t="s">
        <v>27</v>
      </c>
      <c r="F15" s="6">
        <f>0.02</f>
        <v>0.02</v>
      </c>
      <c r="G15" s="4" t="s">
        <v>27</v>
      </c>
      <c r="H15" s="6">
        <f>0.02</f>
        <v>0.02</v>
      </c>
      <c r="I15" s="4" t="s">
        <v>27</v>
      </c>
      <c r="J15" s="25">
        <f>0.02</f>
        <v>0.02</v>
      </c>
      <c r="K15" s="4"/>
      <c r="L15" s="10">
        <f aca="true" t="shared" si="1" ref="L15:L23">AVERAGE(F15,H15,J15)</f>
        <v>0.02</v>
      </c>
      <c r="M15" s="4" t="s">
        <v>27</v>
      </c>
      <c r="N15" s="6">
        <v>0.06</v>
      </c>
      <c r="O15" s="4" t="s">
        <v>27</v>
      </c>
      <c r="P15" s="6">
        <v>0.06</v>
      </c>
      <c r="Q15" s="4" t="s">
        <v>27</v>
      </c>
      <c r="R15" s="6">
        <v>0.06</v>
      </c>
      <c r="T15" s="10">
        <f t="shared" si="0"/>
        <v>0.06</v>
      </c>
      <c r="U15" s="10"/>
      <c r="V15" s="10"/>
      <c r="W15" s="10"/>
      <c r="X15" s="10"/>
      <c r="Y15" s="10"/>
      <c r="Z15" s="10"/>
      <c r="AA15" s="10"/>
      <c r="AC15" s="29"/>
      <c r="AL15" s="29"/>
    </row>
    <row r="16" spans="2:38" ht="12.75">
      <c r="B16" s="2" t="s">
        <v>103</v>
      </c>
      <c r="D16" s="2" t="s">
        <v>26</v>
      </c>
      <c r="E16" s="4" t="s">
        <v>27</v>
      </c>
      <c r="F16" s="6">
        <f>0.02</f>
        <v>0.02</v>
      </c>
      <c r="G16" s="4" t="s">
        <v>27</v>
      </c>
      <c r="H16" s="6">
        <f>0.02</f>
        <v>0.02</v>
      </c>
      <c r="I16" s="4" t="s">
        <v>27</v>
      </c>
      <c r="J16" s="25">
        <f>0.02</f>
        <v>0.02</v>
      </c>
      <c r="K16" s="4"/>
      <c r="L16" s="10">
        <f t="shared" si="1"/>
        <v>0.02</v>
      </c>
      <c r="N16" s="6">
        <v>16.57</v>
      </c>
      <c r="P16" s="6">
        <v>16.77</v>
      </c>
      <c r="R16" s="6">
        <v>16.65</v>
      </c>
      <c r="T16" s="10">
        <f t="shared" si="0"/>
        <v>16.663333333333334</v>
      </c>
      <c r="U16" s="10"/>
      <c r="V16" s="10"/>
      <c r="W16" s="10"/>
      <c r="X16" s="10"/>
      <c r="Y16" s="10"/>
      <c r="Z16" s="10"/>
      <c r="AA16" s="10"/>
      <c r="AC16" s="29"/>
      <c r="AL16" s="29"/>
    </row>
    <row r="17" spans="2:38" ht="12.75">
      <c r="B17" s="2" t="s">
        <v>104</v>
      </c>
      <c r="D17" s="2" t="s">
        <v>26</v>
      </c>
      <c r="E17" s="4" t="s">
        <v>27</v>
      </c>
      <c r="F17" s="6">
        <v>0</v>
      </c>
      <c r="G17" s="4" t="s">
        <v>27</v>
      </c>
      <c r="H17" s="6">
        <v>0</v>
      </c>
      <c r="I17" s="4" t="s">
        <v>27</v>
      </c>
      <c r="J17" s="25">
        <v>0</v>
      </c>
      <c r="K17" s="4"/>
      <c r="L17" s="10">
        <f t="shared" si="1"/>
        <v>0</v>
      </c>
      <c r="N17" s="6">
        <v>0.02</v>
      </c>
      <c r="P17" s="6">
        <v>0.02</v>
      </c>
      <c r="R17" s="6">
        <v>0.02</v>
      </c>
      <c r="T17" s="10">
        <f t="shared" si="0"/>
        <v>0.02</v>
      </c>
      <c r="U17" s="10"/>
      <c r="V17" s="10"/>
      <c r="W17" s="10"/>
      <c r="X17" s="10"/>
      <c r="Y17" s="10"/>
      <c r="Z17" s="10"/>
      <c r="AA17" s="10"/>
      <c r="AC17" s="29"/>
      <c r="AL17" s="29"/>
    </row>
    <row r="18" spans="2:38" ht="12.75">
      <c r="B18" s="2" t="s">
        <v>108</v>
      </c>
      <c r="D18" s="2" t="s">
        <v>26</v>
      </c>
      <c r="E18" s="4" t="s">
        <v>27</v>
      </c>
      <c r="F18" s="6">
        <f>0.01</f>
        <v>0.01</v>
      </c>
      <c r="G18" s="4" t="s">
        <v>27</v>
      </c>
      <c r="H18" s="6">
        <f>0.01</f>
        <v>0.01</v>
      </c>
      <c r="I18" s="4" t="s">
        <v>27</v>
      </c>
      <c r="J18" s="25">
        <f>0.01</f>
        <v>0.01</v>
      </c>
      <c r="K18" s="4"/>
      <c r="L18" s="10">
        <f t="shared" si="1"/>
        <v>0.01</v>
      </c>
      <c r="M18" s="4" t="s">
        <v>27</v>
      </c>
      <c r="N18" s="6">
        <v>0.03</v>
      </c>
      <c r="O18" s="4" t="s">
        <v>27</v>
      </c>
      <c r="P18" s="6">
        <v>0.03</v>
      </c>
      <c r="Q18" s="4" t="s">
        <v>27</v>
      </c>
      <c r="R18" s="6">
        <v>0.03</v>
      </c>
      <c r="T18" s="10">
        <f t="shared" si="0"/>
        <v>0.03</v>
      </c>
      <c r="U18" s="10"/>
      <c r="V18" s="10"/>
      <c r="W18" s="10"/>
      <c r="X18" s="10"/>
      <c r="Y18" s="10"/>
      <c r="Z18" s="10"/>
      <c r="AA18" s="10"/>
      <c r="AC18" s="29"/>
      <c r="AL18" s="29"/>
    </row>
    <row r="19" spans="2:38" ht="12.75">
      <c r="B19" s="2" t="s">
        <v>100</v>
      </c>
      <c r="D19" s="2" t="s">
        <v>26</v>
      </c>
      <c r="E19" s="4"/>
      <c r="F19" s="6">
        <v>0.65</v>
      </c>
      <c r="G19" s="4"/>
      <c r="H19" s="6">
        <v>0.93</v>
      </c>
      <c r="I19" s="4"/>
      <c r="J19" s="25">
        <v>0.86</v>
      </c>
      <c r="K19" s="4"/>
      <c r="L19" s="10">
        <f t="shared" si="1"/>
        <v>0.8133333333333334</v>
      </c>
      <c r="N19" s="6">
        <v>0.19</v>
      </c>
      <c r="P19" s="6">
        <v>0.1</v>
      </c>
      <c r="R19" s="6">
        <v>0.09</v>
      </c>
      <c r="T19" s="10">
        <f t="shared" si="0"/>
        <v>0.12666666666666668</v>
      </c>
      <c r="U19" s="10"/>
      <c r="V19" s="10">
        <v>4.1</v>
      </c>
      <c r="W19" s="10"/>
      <c r="X19" s="10">
        <v>3.92</v>
      </c>
      <c r="Y19" s="10"/>
      <c r="Z19" s="10">
        <v>1.98</v>
      </c>
      <c r="AA19" s="10"/>
      <c r="AB19" s="11">
        <f>AVERAGE(4.1,3.92,1.98)</f>
        <v>3.3333333333333335</v>
      </c>
      <c r="AC19" s="29"/>
      <c r="AL19" s="29"/>
    </row>
    <row r="20" spans="2:38" ht="12.75">
      <c r="B20" s="2" t="s">
        <v>106</v>
      </c>
      <c r="D20" s="2" t="s">
        <v>26</v>
      </c>
      <c r="E20" s="4" t="s">
        <v>27</v>
      </c>
      <c r="F20" s="6">
        <f>0.01</f>
        <v>0.01</v>
      </c>
      <c r="G20" s="4" t="s">
        <v>27</v>
      </c>
      <c r="H20" s="6">
        <f>0.01</f>
        <v>0.01</v>
      </c>
      <c r="I20" s="4" t="s">
        <v>27</v>
      </c>
      <c r="J20" s="25">
        <f>0.01</f>
        <v>0.01</v>
      </c>
      <c r="K20" s="4"/>
      <c r="L20" s="10">
        <f t="shared" si="1"/>
        <v>0.01</v>
      </c>
      <c r="M20" s="4" t="s">
        <v>27</v>
      </c>
      <c r="N20" s="6">
        <v>0.29</v>
      </c>
      <c r="O20" s="4" t="s">
        <v>27</v>
      </c>
      <c r="P20" s="6">
        <v>0.29</v>
      </c>
      <c r="Q20" s="4" t="s">
        <v>27</v>
      </c>
      <c r="R20" s="6">
        <v>0.3</v>
      </c>
      <c r="T20" s="10">
        <f t="shared" si="0"/>
        <v>0.2933333333333333</v>
      </c>
      <c r="U20" s="10"/>
      <c r="V20" s="10"/>
      <c r="W20" s="10"/>
      <c r="X20" s="10"/>
      <c r="Y20" s="10"/>
      <c r="Z20" s="10"/>
      <c r="AA20" s="10"/>
      <c r="AC20" s="29"/>
      <c r="AL20" s="29"/>
    </row>
    <row r="21" spans="2:38" ht="12.75">
      <c r="B21" s="2" t="s">
        <v>111</v>
      </c>
      <c r="D21" s="2" t="s">
        <v>26</v>
      </c>
      <c r="E21" s="4" t="s">
        <v>27</v>
      </c>
      <c r="F21" s="6">
        <f>0.033/1000000*F9</f>
        <v>0.0005560500000000001</v>
      </c>
      <c r="G21" s="4" t="s">
        <v>27</v>
      </c>
      <c r="H21" s="6">
        <f>0.033/1000000*H9</f>
        <v>0.0005748600000000001</v>
      </c>
      <c r="I21" s="4" t="s">
        <v>27</v>
      </c>
      <c r="J21" s="6">
        <f>0.033/1000000*J9</f>
        <v>0.0005702400000000001</v>
      </c>
      <c r="K21" s="4"/>
      <c r="L21" s="12">
        <f t="shared" si="1"/>
        <v>0.00056705</v>
      </c>
      <c r="M21" s="4" t="s">
        <v>27</v>
      </c>
      <c r="N21" s="7">
        <f>0.033/1000000*N9</f>
        <v>0.0019463400000000002</v>
      </c>
      <c r="O21" s="4" t="s">
        <v>27</v>
      </c>
      <c r="P21" s="7">
        <f>0.033/1000000*P9</f>
        <v>0.0019080600000000003</v>
      </c>
      <c r="Q21" s="4" t="s">
        <v>27</v>
      </c>
      <c r="R21" s="7">
        <f>0.033/1000000*R9</f>
        <v>0.0019489800000000003</v>
      </c>
      <c r="T21" s="12">
        <f t="shared" si="0"/>
        <v>0.00193446</v>
      </c>
      <c r="U21" s="10"/>
      <c r="V21" s="10"/>
      <c r="W21" s="10"/>
      <c r="X21" s="10"/>
      <c r="Y21" s="10"/>
      <c r="Z21" s="10"/>
      <c r="AA21" s="10"/>
      <c r="AC21" s="29"/>
      <c r="AL21" s="29"/>
    </row>
    <row r="22" spans="2:38" ht="12.75">
      <c r="B22" s="2" t="s">
        <v>116</v>
      </c>
      <c r="D22" s="2" t="s">
        <v>26</v>
      </c>
      <c r="E22" s="4"/>
      <c r="F22" s="6">
        <v>0.17</v>
      </c>
      <c r="G22" s="4"/>
      <c r="H22" s="6">
        <v>0.38</v>
      </c>
      <c r="I22" s="4"/>
      <c r="J22" s="25">
        <v>0.22</v>
      </c>
      <c r="K22" s="4"/>
      <c r="L22" s="10">
        <f t="shared" si="1"/>
        <v>0.25666666666666665</v>
      </c>
      <c r="M22" s="4" t="s">
        <v>27</v>
      </c>
      <c r="N22" s="6">
        <v>0.24</v>
      </c>
      <c r="O22" s="4" t="s">
        <v>27</v>
      </c>
      <c r="P22" s="6">
        <v>0.23</v>
      </c>
      <c r="Q22" s="4" t="s">
        <v>27</v>
      </c>
      <c r="R22" s="6">
        <v>0.24</v>
      </c>
      <c r="T22" s="10">
        <f t="shared" si="0"/>
        <v>0.23666666666666666</v>
      </c>
      <c r="U22" s="10"/>
      <c r="V22" s="10"/>
      <c r="W22" s="10"/>
      <c r="X22" s="10"/>
      <c r="Y22" s="10"/>
      <c r="Z22" s="10"/>
      <c r="AA22" s="10"/>
      <c r="AC22" s="29"/>
      <c r="AL22" s="29"/>
    </row>
    <row r="23" spans="2:38" ht="12.75">
      <c r="B23" s="2" t="s">
        <v>117</v>
      </c>
      <c r="D23" s="2" t="s">
        <v>26</v>
      </c>
      <c r="E23" s="4" t="s">
        <v>27</v>
      </c>
      <c r="F23" s="6">
        <v>0.01</v>
      </c>
      <c r="G23" s="4" t="s">
        <v>27</v>
      </c>
      <c r="H23" s="6">
        <v>0.01</v>
      </c>
      <c r="I23" s="4" t="s">
        <v>27</v>
      </c>
      <c r="J23" s="25">
        <v>0.01</v>
      </c>
      <c r="K23" s="4"/>
      <c r="L23" s="10">
        <f t="shared" si="1"/>
        <v>0.01</v>
      </c>
      <c r="N23" s="6">
        <v>0.1</v>
      </c>
      <c r="P23" s="6">
        <v>0.12</v>
      </c>
      <c r="R23" s="6">
        <v>0.17</v>
      </c>
      <c r="T23" s="10">
        <f t="shared" si="0"/>
        <v>0.13</v>
      </c>
      <c r="U23" s="10"/>
      <c r="V23" s="10"/>
      <c r="W23" s="10"/>
      <c r="X23" s="10"/>
      <c r="Y23" s="10"/>
      <c r="Z23" s="10"/>
      <c r="AA23" s="10"/>
      <c r="AC23" s="29"/>
      <c r="AL23" s="29"/>
    </row>
    <row r="24" spans="2:38" ht="12.75">
      <c r="B24" s="2" t="s">
        <v>107</v>
      </c>
      <c r="D24" s="2" t="s">
        <v>26</v>
      </c>
      <c r="E24" s="4" t="s">
        <v>27</v>
      </c>
      <c r="F24" s="6">
        <v>0.02</v>
      </c>
      <c r="G24" s="4" t="s">
        <v>27</v>
      </c>
      <c r="H24" s="6">
        <f>0.02</f>
        <v>0.02</v>
      </c>
      <c r="I24" s="4" t="s">
        <v>27</v>
      </c>
      <c r="J24" s="25">
        <f>0.02</f>
        <v>0.02</v>
      </c>
      <c r="K24" s="4"/>
      <c r="L24" s="10">
        <f>AVERAGE(F24,H24,J24)</f>
        <v>0.02</v>
      </c>
      <c r="M24" s="4" t="s">
        <v>27</v>
      </c>
      <c r="N24" s="6">
        <v>0.06</v>
      </c>
      <c r="O24" s="4" t="s">
        <v>27</v>
      </c>
      <c r="P24" s="6">
        <v>0.06</v>
      </c>
      <c r="Q24" s="4" t="s">
        <v>27</v>
      </c>
      <c r="R24" s="6">
        <v>0.06</v>
      </c>
      <c r="T24" s="10">
        <f t="shared" si="0"/>
        <v>0.06</v>
      </c>
      <c r="U24" s="10"/>
      <c r="V24" s="10"/>
      <c r="W24" s="10"/>
      <c r="X24" s="10"/>
      <c r="Y24" s="10"/>
      <c r="Z24" s="10"/>
      <c r="AA24" s="10"/>
      <c r="AC24" s="29"/>
      <c r="AL24" s="29"/>
    </row>
    <row r="25" spans="2:38" ht="12.75">
      <c r="B25" s="2" t="s">
        <v>118</v>
      </c>
      <c r="D25" s="2" t="s">
        <v>26</v>
      </c>
      <c r="E25" s="4" t="s">
        <v>27</v>
      </c>
      <c r="F25" s="6">
        <v>0.02</v>
      </c>
      <c r="G25" s="4" t="s">
        <v>27</v>
      </c>
      <c r="H25" s="6">
        <v>0.02</v>
      </c>
      <c r="I25" s="4" t="s">
        <v>27</v>
      </c>
      <c r="J25" s="25">
        <v>0.02</v>
      </c>
      <c r="K25" s="4"/>
      <c r="L25" s="10">
        <f>AVERAGE(F25,H25,J25)</f>
        <v>0.02</v>
      </c>
      <c r="M25" s="4" t="s">
        <v>27</v>
      </c>
      <c r="N25" s="6">
        <v>0.06</v>
      </c>
      <c r="O25" s="4" t="s">
        <v>27</v>
      </c>
      <c r="P25" s="6">
        <v>0.06</v>
      </c>
      <c r="Q25" s="4" t="s">
        <v>27</v>
      </c>
      <c r="R25" s="6">
        <v>0.06</v>
      </c>
      <c r="T25" s="10">
        <f t="shared" si="0"/>
        <v>0.06</v>
      </c>
      <c r="U25" s="10"/>
      <c r="V25" s="10"/>
      <c r="W25" s="10"/>
      <c r="X25" s="10"/>
      <c r="Y25" s="10"/>
      <c r="Z25" s="10"/>
      <c r="AA25" s="10"/>
      <c r="AC25" s="29"/>
      <c r="AL25" s="29"/>
    </row>
    <row r="26" spans="2:38" ht="12.75">
      <c r="B26" s="2" t="s">
        <v>119</v>
      </c>
      <c r="D26" s="2" t="s">
        <v>26</v>
      </c>
      <c r="E26" s="4" t="s">
        <v>27</v>
      </c>
      <c r="F26" s="6">
        <v>0.03</v>
      </c>
      <c r="G26" s="4" t="s">
        <v>27</v>
      </c>
      <c r="H26" s="6">
        <v>0.03</v>
      </c>
      <c r="I26" s="4" t="s">
        <v>27</v>
      </c>
      <c r="J26" s="25">
        <v>0.03</v>
      </c>
      <c r="K26" s="4"/>
      <c r="L26" s="10">
        <f>AVERAGE(F26,H26,J26)</f>
        <v>0.03</v>
      </c>
      <c r="N26" s="6">
        <v>0.65</v>
      </c>
      <c r="P26" s="6">
        <v>0.48</v>
      </c>
      <c r="Q26" s="6"/>
      <c r="R26" s="6">
        <v>0.45</v>
      </c>
      <c r="T26" s="10">
        <f t="shared" si="0"/>
        <v>0.5266666666666666</v>
      </c>
      <c r="U26" s="10"/>
      <c r="V26" s="10"/>
      <c r="W26" s="10"/>
      <c r="X26" s="10"/>
      <c r="Y26" s="10"/>
      <c r="Z26" s="10"/>
      <c r="AA26" s="10"/>
      <c r="AC26" s="29"/>
      <c r="AL26" s="29"/>
    </row>
    <row r="28" spans="2:38" ht="12.75">
      <c r="B28" s="2" t="s">
        <v>39</v>
      </c>
      <c r="D28" s="2" t="s">
        <v>28</v>
      </c>
      <c r="F28" s="6">
        <f>emiss!$G$16</f>
        <v>199327</v>
      </c>
      <c r="H28" s="9">
        <f>emiss!$I$16</f>
        <v>194365</v>
      </c>
      <c r="J28" s="3">
        <f>emiss!$K$16</f>
        <v>195824</v>
      </c>
      <c r="L28" s="13">
        <f>emiss!$M$16</f>
        <v>196505.33333333334</v>
      </c>
      <c r="N28" s="6">
        <f>emiss!$G$16</f>
        <v>199327</v>
      </c>
      <c r="O28" s="3"/>
      <c r="P28" s="9">
        <f>emiss!$I$16</f>
        <v>194365</v>
      </c>
      <c r="Q28" s="3"/>
      <c r="R28" s="3">
        <f>emiss!$K$16</f>
        <v>195824</v>
      </c>
      <c r="S28" s="3"/>
      <c r="T28" s="13">
        <f>emiss!$M$16</f>
        <v>196505.33333333334</v>
      </c>
      <c r="U28" s="13"/>
      <c r="V28" s="6">
        <f>emiss!$G$16</f>
        <v>199327</v>
      </c>
      <c r="X28" s="9">
        <f>emiss!$I$16</f>
        <v>194365</v>
      </c>
      <c r="Z28" s="3">
        <f>emiss!$K$16</f>
        <v>195824</v>
      </c>
      <c r="AB28" s="13">
        <f>emiss!$M$16</f>
        <v>196505.33333333334</v>
      </c>
      <c r="AC28" s="13"/>
      <c r="AL28" s="13"/>
    </row>
    <row r="29" spans="2:38" ht="12.75">
      <c r="B29" s="2" t="s">
        <v>40</v>
      </c>
      <c r="D29" s="2" t="s">
        <v>29</v>
      </c>
      <c r="F29" s="8">
        <f>emiss!$G$17</f>
        <v>6</v>
      </c>
      <c r="G29" s="11"/>
      <c r="H29" s="8">
        <f>emiss!$I$17</f>
        <v>6.2</v>
      </c>
      <c r="I29" s="11"/>
      <c r="J29" s="11">
        <f>emiss!$K$17</f>
        <v>6</v>
      </c>
      <c r="K29" s="11"/>
      <c r="L29" s="11">
        <f>emiss!$M$17</f>
        <v>6.066666666666666</v>
      </c>
      <c r="M29" s="34"/>
      <c r="N29" s="8">
        <f>emiss!$G$17</f>
        <v>6</v>
      </c>
      <c r="O29" s="11"/>
      <c r="P29" s="8">
        <f>emiss!$I$17</f>
        <v>6.2</v>
      </c>
      <c r="Q29" s="11"/>
      <c r="R29" s="11">
        <f>emiss!$K$17</f>
        <v>6</v>
      </c>
      <c r="S29" s="11"/>
      <c r="T29" s="11">
        <f>emiss!$M$17</f>
        <v>6.066666666666666</v>
      </c>
      <c r="U29" s="11"/>
      <c r="V29" s="8">
        <f>emiss!$G$17</f>
        <v>6</v>
      </c>
      <c r="W29" s="11"/>
      <c r="X29" s="8">
        <f>emiss!$I$17</f>
        <v>6.2</v>
      </c>
      <c r="Y29" s="11"/>
      <c r="Z29" s="11">
        <f>emiss!$K$17</f>
        <v>6</v>
      </c>
      <c r="AA29" s="11"/>
      <c r="AB29" s="11">
        <f>emiss!$M$17</f>
        <v>6.066666666666666</v>
      </c>
      <c r="AC29" s="13"/>
      <c r="AL29" s="13"/>
    </row>
    <row r="30" spans="5:11" ht="12.75">
      <c r="E30" s="4"/>
      <c r="G30" s="4"/>
      <c r="H30" s="4"/>
      <c r="I30" s="4"/>
      <c r="J30" s="4"/>
      <c r="K30" s="4"/>
    </row>
    <row r="31" spans="2:44" ht="12.75">
      <c r="B31" s="2" t="s">
        <v>110</v>
      </c>
      <c r="D31" s="2" t="s">
        <v>150</v>
      </c>
      <c r="E31" s="4"/>
      <c r="F31" s="9">
        <f>F9*F11/1000000</f>
        <v>171.01065</v>
      </c>
      <c r="G31" s="20"/>
      <c r="H31" s="9">
        <f>H9*H11/1000000</f>
        <v>188.86764</v>
      </c>
      <c r="I31" s="20"/>
      <c r="J31" s="9">
        <f>J9*J11/1000000</f>
        <v>183.4272</v>
      </c>
      <c r="K31" s="9"/>
      <c r="L31" s="13">
        <f>AVERAGE(F31,H31,J31)</f>
        <v>181.10182999999998</v>
      </c>
      <c r="N31" s="9">
        <f>N9*N11/1000000</f>
        <v>720.08682</v>
      </c>
      <c r="O31" s="20"/>
      <c r="P31" s="9">
        <f>P9*P11/1000000</f>
        <v>712.57368</v>
      </c>
      <c r="Q31" s="20"/>
      <c r="R31" s="9">
        <f>R9*R11/1000000</f>
        <v>725.8474</v>
      </c>
      <c r="S31" s="9"/>
      <c r="T31" s="13">
        <f>AVERAGE(N31,P31,R31)</f>
        <v>719.5026333333334</v>
      </c>
      <c r="U31" s="13"/>
      <c r="V31" s="13"/>
      <c r="W31" s="13"/>
      <c r="X31" s="13"/>
      <c r="Y31" s="13"/>
      <c r="Z31" s="13"/>
      <c r="AA31" s="13"/>
      <c r="AB31" s="13"/>
      <c r="AC31" s="13"/>
      <c r="AL31" s="13">
        <f>SUM(AD31,V31,N31,F31)</f>
        <v>891.0974699999999</v>
      </c>
      <c r="AN31" s="13">
        <f>SUM(AF31,X31,P31,H31)</f>
        <v>901.4413199999999</v>
      </c>
      <c r="AP31" s="13">
        <f>SUM(AH31,Z31,R31,J31)</f>
        <v>909.2746</v>
      </c>
      <c r="AR31" s="13">
        <f>SUM(AJ31,AB31,T31,L31)</f>
        <v>900.6044633333333</v>
      </c>
    </row>
    <row r="32" spans="2:44" ht="12.75">
      <c r="B32" s="2" t="s">
        <v>41</v>
      </c>
      <c r="D32" s="2" t="s">
        <v>150</v>
      </c>
      <c r="E32" s="4"/>
      <c r="F32" s="9"/>
      <c r="G32" s="4"/>
      <c r="H32" s="9"/>
      <c r="I32" s="4"/>
      <c r="J32" s="9"/>
      <c r="K32" s="9"/>
      <c r="N32" s="9"/>
      <c r="P32" s="9"/>
      <c r="R32" s="9"/>
      <c r="S32" s="9"/>
      <c r="T32" s="9"/>
      <c r="AC32" s="13"/>
      <c r="AL32" s="13"/>
      <c r="AN32" s="13"/>
      <c r="AP32" s="13"/>
      <c r="AR32" s="9">
        <f>L28/9000*60*(21-7)/21</f>
        <v>873.3570370370371</v>
      </c>
    </row>
    <row r="33" spans="5:44" ht="12.75">
      <c r="E33" s="4"/>
      <c r="F33" s="3"/>
      <c r="G33" s="4"/>
      <c r="H33" s="4"/>
      <c r="I33" s="4"/>
      <c r="J33" s="9"/>
      <c r="K33" s="9"/>
      <c r="AC33" s="13"/>
      <c r="AL33" s="13"/>
      <c r="AN33" s="13"/>
      <c r="AP33" s="13"/>
      <c r="AR33" s="13"/>
    </row>
    <row r="34" spans="2:44" ht="12.75">
      <c r="B34" s="28" t="s">
        <v>86</v>
      </c>
      <c r="C34" s="28"/>
      <c r="E34" s="4"/>
      <c r="F34" s="3"/>
      <c r="G34" s="4"/>
      <c r="H34" s="4"/>
      <c r="I34" s="4"/>
      <c r="J34" s="9"/>
      <c r="K34" s="9"/>
      <c r="AC34" s="13"/>
      <c r="AL34" s="13"/>
      <c r="AN34" s="13"/>
      <c r="AP34" s="13"/>
      <c r="AR34" s="13"/>
    </row>
    <row r="35" spans="2:44" ht="12.75">
      <c r="B35" s="2" t="s">
        <v>38</v>
      </c>
      <c r="D35" s="2" t="s">
        <v>42</v>
      </c>
      <c r="E35" s="4"/>
      <c r="F35" s="23">
        <f>F12*454/F$28/60/0.0283*1000*(21-7)/(21-F$29)</f>
        <v>50.629071182597755</v>
      </c>
      <c r="G35" s="23"/>
      <c r="H35" s="23">
        <f>H12*454/H$28/60/0.0283*1000*(21-7)/(21-H$29)</f>
        <v>79.33825050613534</v>
      </c>
      <c r="I35" s="23"/>
      <c r="J35" s="23">
        <f>J12*454/J$28/60/0.0283*1000*(21-7)/(21-J$29)</f>
        <v>63.860271731708615</v>
      </c>
      <c r="K35" s="23"/>
      <c r="L35" s="13">
        <f>AVERAGE(F35,H35,J35)</f>
        <v>64.6091978068139</v>
      </c>
      <c r="N35" s="23">
        <f>N12*454/N$28/60/0.0283*1000*(21-7)/(21-N$29)</f>
        <v>7154.924377065929</v>
      </c>
      <c r="P35" s="23">
        <f>P12*454/P$28/60/0.0283*1000*(21-7)/(21-P$29)</f>
        <v>6869.388624272403</v>
      </c>
      <c r="R35" s="23">
        <f>R12*454/R$28/60/0.0283*1000*(21-7)/(21-R$29)</f>
        <v>6924.8227288893795</v>
      </c>
      <c r="T35" s="13">
        <f aca="true" t="shared" si="2" ref="T35:T49">AVERAGE(N35,P35,R35)</f>
        <v>6983.045243409237</v>
      </c>
      <c r="U35" s="13"/>
      <c r="V35" s="23">
        <f>V12*454/V$28/60/0.0283*1000*(21-7)/(21-V$29)</f>
        <v>0</v>
      </c>
      <c r="W35" s="13"/>
      <c r="X35" s="23">
        <f>X12*454/X$28/60/0.0283*1000*(21-7)/(21-X$29)</f>
        <v>0</v>
      </c>
      <c r="Y35" s="13"/>
      <c r="Z35" s="23">
        <f>Z12*454/Z$28/60/0.0283*1000*(21-7)/(21-Z$29)</f>
        <v>0</v>
      </c>
      <c r="AA35" s="13"/>
      <c r="AB35" s="23">
        <f>AB12*454/AB$28/60/0.0283*1000*(21-7)/(21-AB$29)</f>
        <v>0</v>
      </c>
      <c r="AC35" s="13"/>
      <c r="AL35" s="13">
        <f>SUM(AD35,V35,N35,F35)</f>
        <v>7205.553448248526</v>
      </c>
      <c r="AN35" s="13">
        <f>SUM(AF35,X35,P35,H35)</f>
        <v>6948.726874778538</v>
      </c>
      <c r="AP35" s="13">
        <f>SUM(AH35,Z35,R35,J35)</f>
        <v>6988.6830006210885</v>
      </c>
      <c r="AR35" s="13">
        <f aca="true" t="shared" si="3" ref="AR35:AR49">SUM(AJ35,AB35,T35,L35)</f>
        <v>7047.654441216051</v>
      </c>
    </row>
    <row r="36" spans="2:45" ht="12.75">
      <c r="B36" s="2" t="s">
        <v>25</v>
      </c>
      <c r="D36" s="2" t="s">
        <v>32</v>
      </c>
      <c r="E36" s="4"/>
      <c r="F36" s="23">
        <f aca="true" t="shared" si="4" ref="F36:F49">F13*454/F$28/60/0.0283*1000000*(21-7)/(21-F$29)</f>
        <v>964.0055591147446</v>
      </c>
      <c r="G36" s="6">
        <v>100</v>
      </c>
      <c r="H36" s="23">
        <f aca="true" t="shared" si="5" ref="H36:H49">H13*454/H$28/60/0.0283*1000000*(21-7)/(21-H$29)</f>
        <v>221.2153942273743</v>
      </c>
      <c r="I36" s="6">
        <v>100</v>
      </c>
      <c r="J36" s="23">
        <f aca="true" t="shared" si="6" ref="J36:J49">J13*454/J$28/60/0.0283*1000000*(21-7)/(21-J$29)</f>
        <v>216.6396510694138</v>
      </c>
      <c r="K36" s="13">
        <f>SUM(H36,J36)/SUM(J36,H36,F36)*100</f>
        <v>31.233850492616494</v>
      </c>
      <c r="L36" s="13">
        <f aca="true" t="shared" si="7" ref="L36:L48">AVERAGE(F36,H36,J36)</f>
        <v>467.2868681371776</v>
      </c>
      <c r="M36" s="4">
        <v>100</v>
      </c>
      <c r="N36" s="23">
        <f aca="true" t="shared" si="8" ref="N36:N49">N13*454/N$28/60/0.0283*1000000*(21-7)/(21-N$29)</f>
        <v>2215.960830692335</v>
      </c>
      <c r="O36" s="4">
        <v>100</v>
      </c>
      <c r="P36" s="23">
        <f aca="true" t="shared" si="9" ref="P36:P49">P13*454/P$28/60/0.0283*1000000*(21-7)/(21-P$29)</f>
        <v>2251.1919530197492</v>
      </c>
      <c r="Q36" s="4">
        <v>100</v>
      </c>
      <c r="R36" s="23">
        <f aca="true" t="shared" si="10" ref="R36:R49">R13*454/R$28/60/0.0283*1000000*(21-7)/(21-R$29)</f>
        <v>2255.60107289919</v>
      </c>
      <c r="S36" s="4">
        <v>100</v>
      </c>
      <c r="T36" s="13">
        <f t="shared" si="2"/>
        <v>2240.917952203758</v>
      </c>
      <c r="U36" s="13"/>
      <c r="V36" s="23">
        <f aca="true" t="shared" si="11" ref="V36:V49">V13*454/V$28/60/0.0283*1000000*(21-7)/(21-V$29)</f>
        <v>0</v>
      </c>
      <c r="W36" s="13"/>
      <c r="X36" s="23">
        <f aca="true" t="shared" si="12" ref="X36:X49">X13*454/X$28/60/0.0283*1000000*(21-7)/(21-X$29)</f>
        <v>0</v>
      </c>
      <c r="Y36" s="13"/>
      <c r="Z36" s="23">
        <f aca="true" t="shared" si="13" ref="Z36:Z49">Z13*454/Z$28/60/0.0283*1000000*(21-7)/(21-Z$29)</f>
        <v>0</v>
      </c>
      <c r="AA36" s="13"/>
      <c r="AB36" s="23">
        <f aca="true" t="shared" si="14" ref="AB36:AB49">AB13*454/AB$28/60/0.0283*1000000*(21-7)/(21-AB$29)</f>
        <v>0</v>
      </c>
      <c r="AC36" s="13"/>
      <c r="AK36" s="3">
        <f>N36/AL36*100</f>
        <v>69.68503937007874</v>
      </c>
      <c r="AL36" s="13">
        <f aca="true" t="shared" si="15" ref="AL36:AP49">SUM(AD36,V36,N36,F36)</f>
        <v>3179.96638980708</v>
      </c>
      <c r="AM36" s="3">
        <v>100</v>
      </c>
      <c r="AN36" s="13">
        <f t="shared" si="15"/>
        <v>2472.4073472471237</v>
      </c>
      <c r="AO36" s="3">
        <v>100</v>
      </c>
      <c r="AP36" s="13">
        <f t="shared" si="15"/>
        <v>2472.240723968604</v>
      </c>
      <c r="AQ36" s="3">
        <f>T36/AR36*100</f>
        <v>82.74551228077533</v>
      </c>
      <c r="AR36" s="13">
        <f t="shared" si="3"/>
        <v>2708.2048203409354</v>
      </c>
      <c r="AS36" s="13"/>
    </row>
    <row r="37" spans="2:44" ht="12.75">
      <c r="B37" s="2" t="s">
        <v>105</v>
      </c>
      <c r="D37" s="2" t="s">
        <v>32</v>
      </c>
      <c r="E37" s="4">
        <v>100</v>
      </c>
      <c r="F37" s="23">
        <f t="shared" si="4"/>
        <v>125.19552715775905</v>
      </c>
      <c r="G37" s="4">
        <v>100</v>
      </c>
      <c r="H37" s="23">
        <f t="shared" si="5"/>
        <v>130.12670248669076</v>
      </c>
      <c r="I37" s="4">
        <v>100</v>
      </c>
      <c r="J37" s="23">
        <f t="shared" si="6"/>
        <v>127.43508886436108</v>
      </c>
      <c r="K37" s="4">
        <v>100</v>
      </c>
      <c r="L37" s="13">
        <f t="shared" si="7"/>
        <v>127.5857728362703</v>
      </c>
      <c r="M37" s="4">
        <v>100</v>
      </c>
      <c r="N37" s="23">
        <f t="shared" si="8"/>
        <v>438.18434505215663</v>
      </c>
      <c r="O37" s="4">
        <v>100</v>
      </c>
      <c r="P37" s="23">
        <f t="shared" si="9"/>
        <v>455.44345870341755</v>
      </c>
      <c r="Q37" s="4">
        <v>100</v>
      </c>
      <c r="R37" s="23">
        <f t="shared" si="10"/>
        <v>446.0228110252636</v>
      </c>
      <c r="S37" s="4">
        <v>100</v>
      </c>
      <c r="T37" s="13">
        <f t="shared" si="2"/>
        <v>446.5502049269459</v>
      </c>
      <c r="U37" s="13"/>
      <c r="V37" s="23">
        <f t="shared" si="11"/>
        <v>0</v>
      </c>
      <c r="W37" s="13"/>
      <c r="X37" s="23">
        <f t="shared" si="12"/>
        <v>0</v>
      </c>
      <c r="Y37" s="13"/>
      <c r="Z37" s="23">
        <f t="shared" si="13"/>
        <v>0</v>
      </c>
      <c r="AA37" s="13"/>
      <c r="AB37" s="23">
        <f t="shared" si="14"/>
        <v>0</v>
      </c>
      <c r="AC37" s="13"/>
      <c r="AK37" s="4">
        <v>100</v>
      </c>
      <c r="AL37" s="13">
        <f t="shared" si="15"/>
        <v>563.3798722099157</v>
      </c>
      <c r="AM37" s="4">
        <v>100</v>
      </c>
      <c r="AN37" s="13">
        <f t="shared" si="15"/>
        <v>585.5701611901084</v>
      </c>
      <c r="AO37" s="4">
        <v>100</v>
      </c>
      <c r="AP37" s="13">
        <f t="shared" si="15"/>
        <v>573.4578998896246</v>
      </c>
      <c r="AQ37" s="4">
        <v>100</v>
      </c>
      <c r="AR37" s="13">
        <f t="shared" si="3"/>
        <v>574.1359777632163</v>
      </c>
    </row>
    <row r="38" spans="2:44" ht="12.75">
      <c r="B38" s="2" t="s">
        <v>102</v>
      </c>
      <c r="D38" s="2" t="s">
        <v>32</v>
      </c>
      <c r="E38" s="4">
        <v>100</v>
      </c>
      <c r="F38" s="23">
        <f t="shared" si="4"/>
        <v>25.039105431551807</v>
      </c>
      <c r="G38" s="4">
        <v>100</v>
      </c>
      <c r="H38" s="23">
        <f t="shared" si="5"/>
        <v>26.025340497338146</v>
      </c>
      <c r="I38" s="4">
        <v>100</v>
      </c>
      <c r="J38" s="23">
        <f t="shared" si="6"/>
        <v>25.487017772872207</v>
      </c>
      <c r="K38" s="4">
        <v>100</v>
      </c>
      <c r="L38" s="13">
        <f t="shared" si="7"/>
        <v>25.517154567254053</v>
      </c>
      <c r="M38" s="4">
        <v>100</v>
      </c>
      <c r="N38" s="23">
        <f t="shared" si="8"/>
        <v>75.11731629465542</v>
      </c>
      <c r="O38" s="4">
        <v>100</v>
      </c>
      <c r="P38" s="23">
        <f t="shared" si="9"/>
        <v>78.07602149201445</v>
      </c>
      <c r="Q38" s="4">
        <v>100</v>
      </c>
      <c r="R38" s="23">
        <f t="shared" si="10"/>
        <v>76.46105331861664</v>
      </c>
      <c r="S38" s="4">
        <v>100</v>
      </c>
      <c r="T38" s="13">
        <f t="shared" si="2"/>
        <v>76.55146370176216</v>
      </c>
      <c r="U38" s="13"/>
      <c r="V38" s="23">
        <f t="shared" si="11"/>
        <v>0</v>
      </c>
      <c r="W38" s="13"/>
      <c r="X38" s="23">
        <f t="shared" si="12"/>
        <v>0</v>
      </c>
      <c r="Y38" s="13"/>
      <c r="Z38" s="23">
        <f t="shared" si="13"/>
        <v>0</v>
      </c>
      <c r="AA38" s="13"/>
      <c r="AB38" s="23">
        <f t="shared" si="14"/>
        <v>0</v>
      </c>
      <c r="AC38" s="13"/>
      <c r="AK38" s="4">
        <v>100</v>
      </c>
      <c r="AL38" s="13">
        <f t="shared" si="15"/>
        <v>100.15642172620723</v>
      </c>
      <c r="AM38" s="4">
        <v>100</v>
      </c>
      <c r="AN38" s="13">
        <f t="shared" si="15"/>
        <v>104.1013619893526</v>
      </c>
      <c r="AO38" s="4">
        <v>100</v>
      </c>
      <c r="AP38" s="13">
        <f t="shared" si="15"/>
        <v>101.94807109148884</v>
      </c>
      <c r="AQ38" s="4">
        <v>100</v>
      </c>
      <c r="AR38" s="13">
        <f t="shared" si="3"/>
        <v>102.06861826901621</v>
      </c>
    </row>
    <row r="39" spans="2:44" ht="12.75">
      <c r="B39" s="2" t="s">
        <v>103</v>
      </c>
      <c r="D39" s="2" t="s">
        <v>32</v>
      </c>
      <c r="E39" s="4">
        <v>100</v>
      </c>
      <c r="F39" s="23">
        <f t="shared" si="4"/>
        <v>25.039105431551807</v>
      </c>
      <c r="G39" s="4">
        <v>100</v>
      </c>
      <c r="H39" s="23">
        <f t="shared" si="5"/>
        <v>26.025340497338146</v>
      </c>
      <c r="I39" s="4">
        <v>100</v>
      </c>
      <c r="J39" s="23">
        <f t="shared" si="6"/>
        <v>25.487017772872207</v>
      </c>
      <c r="K39" s="4">
        <v>100</v>
      </c>
      <c r="L39" s="13">
        <f t="shared" si="7"/>
        <v>25.517154567254053</v>
      </c>
      <c r="N39" s="23">
        <f t="shared" si="8"/>
        <v>20744.898850040674</v>
      </c>
      <c r="P39" s="23">
        <f t="shared" si="9"/>
        <v>21822.24800701804</v>
      </c>
      <c r="R39" s="23">
        <f t="shared" si="10"/>
        <v>21217.94229591611</v>
      </c>
      <c r="T39" s="13">
        <f t="shared" si="2"/>
        <v>21261.696384324943</v>
      </c>
      <c r="U39" s="13"/>
      <c r="V39" s="23">
        <f t="shared" si="11"/>
        <v>0</v>
      </c>
      <c r="W39" s="13"/>
      <c r="X39" s="23">
        <f t="shared" si="12"/>
        <v>0</v>
      </c>
      <c r="Y39" s="13"/>
      <c r="Z39" s="23">
        <f t="shared" si="13"/>
        <v>0</v>
      </c>
      <c r="AA39" s="13"/>
      <c r="AB39" s="23">
        <f t="shared" si="14"/>
        <v>0</v>
      </c>
      <c r="AC39" s="13"/>
      <c r="AL39" s="13">
        <f t="shared" si="15"/>
        <v>20769.937955472225</v>
      </c>
      <c r="AN39" s="13">
        <f t="shared" si="15"/>
        <v>21848.273347515376</v>
      </c>
      <c r="AP39" s="13">
        <f t="shared" si="15"/>
        <v>21243.429313688983</v>
      </c>
      <c r="AR39" s="13">
        <f t="shared" si="3"/>
        <v>21287.213538892196</v>
      </c>
    </row>
    <row r="40" spans="2:44" ht="12.75">
      <c r="B40" s="2" t="s">
        <v>104</v>
      </c>
      <c r="D40" s="2" t="s">
        <v>32</v>
      </c>
      <c r="E40" s="4">
        <v>100</v>
      </c>
      <c r="F40" s="23">
        <f t="shared" si="4"/>
        <v>0</v>
      </c>
      <c r="G40" s="4">
        <v>100</v>
      </c>
      <c r="H40" s="23">
        <f t="shared" si="5"/>
        <v>0</v>
      </c>
      <c r="I40" s="4">
        <v>100</v>
      </c>
      <c r="J40" s="23">
        <f t="shared" si="6"/>
        <v>0</v>
      </c>
      <c r="K40" s="4">
        <v>100</v>
      </c>
      <c r="L40" s="13">
        <f t="shared" si="7"/>
        <v>0</v>
      </c>
      <c r="N40" s="23">
        <f t="shared" si="8"/>
        <v>25.039105431551807</v>
      </c>
      <c r="P40" s="23">
        <f t="shared" si="9"/>
        <v>26.025340497338146</v>
      </c>
      <c r="R40" s="23">
        <f t="shared" si="10"/>
        <v>25.487017772872207</v>
      </c>
      <c r="T40" s="13">
        <f t="shared" si="2"/>
        <v>25.517154567254053</v>
      </c>
      <c r="U40" s="13"/>
      <c r="V40" s="23">
        <f t="shared" si="11"/>
        <v>0</v>
      </c>
      <c r="W40" s="13"/>
      <c r="X40" s="23">
        <f t="shared" si="12"/>
        <v>0</v>
      </c>
      <c r="Y40" s="13"/>
      <c r="Z40" s="23">
        <f t="shared" si="13"/>
        <v>0</v>
      </c>
      <c r="AA40" s="13"/>
      <c r="AB40" s="23">
        <f t="shared" si="14"/>
        <v>0</v>
      </c>
      <c r="AC40" s="13"/>
      <c r="AL40" s="13">
        <f t="shared" si="15"/>
        <v>25.039105431551807</v>
      </c>
      <c r="AN40" s="13">
        <f t="shared" si="15"/>
        <v>26.025340497338146</v>
      </c>
      <c r="AP40" s="13">
        <f t="shared" si="15"/>
        <v>25.487017772872207</v>
      </c>
      <c r="AR40" s="13">
        <f t="shared" si="3"/>
        <v>25.517154567254053</v>
      </c>
    </row>
    <row r="41" spans="2:44" ht="12.75">
      <c r="B41" s="2" t="s">
        <v>108</v>
      </c>
      <c r="D41" s="2" t="s">
        <v>32</v>
      </c>
      <c r="E41" s="4">
        <v>100</v>
      </c>
      <c r="F41" s="23">
        <f t="shared" si="4"/>
        <v>12.519552715775903</v>
      </c>
      <c r="G41" s="4">
        <v>100</v>
      </c>
      <c r="H41" s="23">
        <f t="shared" si="5"/>
        <v>13.012670248669073</v>
      </c>
      <c r="I41" s="4">
        <v>100</v>
      </c>
      <c r="J41" s="23">
        <f t="shared" si="6"/>
        <v>12.743508886436103</v>
      </c>
      <c r="K41" s="4">
        <v>100</v>
      </c>
      <c r="L41" s="13">
        <f t="shared" si="7"/>
        <v>12.758577283627027</v>
      </c>
      <c r="M41" s="4">
        <v>100</v>
      </c>
      <c r="N41" s="23">
        <f t="shared" si="8"/>
        <v>37.55865814732771</v>
      </c>
      <c r="O41" s="4">
        <v>100</v>
      </c>
      <c r="P41" s="23">
        <f t="shared" si="9"/>
        <v>39.038010746007224</v>
      </c>
      <c r="Q41" s="4">
        <v>100</v>
      </c>
      <c r="R41" s="23">
        <f t="shared" si="10"/>
        <v>38.23052665930832</v>
      </c>
      <c r="S41" s="4">
        <v>100</v>
      </c>
      <c r="T41" s="13">
        <f t="shared" si="2"/>
        <v>38.27573185088108</v>
      </c>
      <c r="U41" s="13"/>
      <c r="V41" s="23">
        <f t="shared" si="11"/>
        <v>0</v>
      </c>
      <c r="W41" s="13"/>
      <c r="X41" s="23">
        <f t="shared" si="12"/>
        <v>0</v>
      </c>
      <c r="Y41" s="13"/>
      <c r="Z41" s="23">
        <f t="shared" si="13"/>
        <v>0</v>
      </c>
      <c r="AA41" s="13"/>
      <c r="AB41" s="23">
        <f t="shared" si="14"/>
        <v>0</v>
      </c>
      <c r="AC41" s="13"/>
      <c r="AK41" s="3">
        <v>100</v>
      </c>
      <c r="AL41" s="13">
        <f t="shared" si="15"/>
        <v>50.078210863103614</v>
      </c>
      <c r="AM41" s="3">
        <v>100</v>
      </c>
      <c r="AN41" s="13">
        <f t="shared" si="15"/>
        <v>52.0506809946763</v>
      </c>
      <c r="AO41" s="3">
        <v>100</v>
      </c>
      <c r="AP41" s="13">
        <f t="shared" si="15"/>
        <v>50.97403554574442</v>
      </c>
      <c r="AQ41" s="3">
        <v>100</v>
      </c>
      <c r="AR41" s="13">
        <f t="shared" si="3"/>
        <v>51.034309134508106</v>
      </c>
    </row>
    <row r="42" spans="2:44" ht="12.75">
      <c r="B42" s="2" t="s">
        <v>100</v>
      </c>
      <c r="D42" s="2" t="s">
        <v>32</v>
      </c>
      <c r="E42" s="4"/>
      <c r="F42" s="23">
        <f t="shared" si="4"/>
        <v>813.7709265254339</v>
      </c>
      <c r="G42" s="4"/>
      <c r="H42" s="23">
        <f t="shared" si="5"/>
        <v>1210.178333126224</v>
      </c>
      <c r="I42" s="4"/>
      <c r="J42" s="23">
        <f t="shared" si="6"/>
        <v>1095.9417642335052</v>
      </c>
      <c r="K42" s="4"/>
      <c r="L42" s="13">
        <f t="shared" si="7"/>
        <v>1039.9636746283877</v>
      </c>
      <c r="N42" s="23">
        <f t="shared" si="8"/>
        <v>237.87150159974217</v>
      </c>
      <c r="P42" s="23">
        <f t="shared" si="9"/>
        <v>130.12670248669076</v>
      </c>
      <c r="R42" s="23">
        <f t="shared" si="10"/>
        <v>114.69157997792493</v>
      </c>
      <c r="T42" s="13">
        <f t="shared" si="2"/>
        <v>160.89659468811928</v>
      </c>
      <c r="U42" s="13"/>
      <c r="V42" s="23">
        <f t="shared" si="11"/>
        <v>5133.01661346812</v>
      </c>
      <c r="W42" s="4"/>
      <c r="X42" s="23">
        <f t="shared" si="12"/>
        <v>5100.966737478277</v>
      </c>
      <c r="Y42" s="4"/>
      <c r="Z42" s="23">
        <f t="shared" si="13"/>
        <v>2523.2147595143488</v>
      </c>
      <c r="AA42" s="4"/>
      <c r="AB42" s="23">
        <f t="shared" si="14"/>
        <v>4252.005783890705</v>
      </c>
      <c r="AC42" s="13"/>
      <c r="AL42" s="13">
        <f t="shared" si="15"/>
        <v>6184.659041593297</v>
      </c>
      <c r="AN42" s="13">
        <f t="shared" si="15"/>
        <v>6441.271773091192</v>
      </c>
      <c r="AP42" s="13">
        <f t="shared" si="15"/>
        <v>3733.848103725779</v>
      </c>
      <c r="AR42" s="13">
        <f t="shared" si="3"/>
        <v>5452.866053207212</v>
      </c>
    </row>
    <row r="43" spans="2:44" ht="12.75">
      <c r="B43" s="2" t="s">
        <v>106</v>
      </c>
      <c r="D43" s="2" t="s">
        <v>32</v>
      </c>
      <c r="E43" s="4">
        <v>100</v>
      </c>
      <c r="F43" s="23">
        <f t="shared" si="4"/>
        <v>12.519552715775903</v>
      </c>
      <c r="G43" s="4"/>
      <c r="H43" s="23">
        <f t="shared" si="5"/>
        <v>13.012670248669073</v>
      </c>
      <c r="I43" s="4">
        <v>100</v>
      </c>
      <c r="J43" s="23">
        <f t="shared" si="6"/>
        <v>12.743508886436103</v>
      </c>
      <c r="K43" s="13">
        <f>SUM(F43,J43)/SUM(J43,H43,F43)*100</f>
        <v>66.00281792294578</v>
      </c>
      <c r="L43" s="13">
        <f t="shared" si="7"/>
        <v>12.758577283627027</v>
      </c>
      <c r="M43" s="4">
        <v>100</v>
      </c>
      <c r="N43" s="23">
        <f t="shared" si="8"/>
        <v>363.06702875750125</v>
      </c>
      <c r="O43" s="4">
        <v>100</v>
      </c>
      <c r="P43" s="23">
        <f t="shared" si="9"/>
        <v>377.36743721140306</v>
      </c>
      <c r="Q43" s="4">
        <v>100</v>
      </c>
      <c r="R43" s="23">
        <f t="shared" si="10"/>
        <v>382.3052665930831</v>
      </c>
      <c r="S43" s="4">
        <v>100</v>
      </c>
      <c r="T43" s="13">
        <f t="shared" si="2"/>
        <v>374.24657752066247</v>
      </c>
      <c r="U43" s="13"/>
      <c r="V43" s="23">
        <f t="shared" si="11"/>
        <v>0</v>
      </c>
      <c r="W43" s="13"/>
      <c r="X43" s="23">
        <f t="shared" si="12"/>
        <v>0</v>
      </c>
      <c r="Y43" s="13"/>
      <c r="Z43" s="23">
        <f t="shared" si="13"/>
        <v>0</v>
      </c>
      <c r="AA43" s="13"/>
      <c r="AB43" s="23">
        <f t="shared" si="14"/>
        <v>0</v>
      </c>
      <c r="AC43" s="13"/>
      <c r="AK43" s="4">
        <v>100</v>
      </c>
      <c r="AL43" s="13">
        <f t="shared" si="15"/>
        <v>375.58658147327714</v>
      </c>
      <c r="AM43" s="4">
        <v>100</v>
      </c>
      <c r="AN43" s="13">
        <f t="shared" si="15"/>
        <v>390.3801074600721</v>
      </c>
      <c r="AO43" s="4">
        <v>100</v>
      </c>
      <c r="AP43" s="13">
        <f t="shared" si="15"/>
        <v>395.04877547951924</v>
      </c>
      <c r="AQ43" s="4">
        <v>100</v>
      </c>
      <c r="AR43" s="13">
        <f t="shared" si="3"/>
        <v>387.0051548042895</v>
      </c>
    </row>
    <row r="44" spans="2:44" ht="12.75">
      <c r="B44" s="2" t="s">
        <v>111</v>
      </c>
      <c r="D44" s="2" t="s">
        <v>32</v>
      </c>
      <c r="E44" s="4">
        <v>100</v>
      </c>
      <c r="F44" s="23">
        <f t="shared" si="4"/>
        <v>0.6961497287607192</v>
      </c>
      <c r="G44" s="4">
        <v>100</v>
      </c>
      <c r="H44" s="23">
        <f t="shared" si="5"/>
        <v>0.7480463619149906</v>
      </c>
      <c r="I44" s="4">
        <v>100</v>
      </c>
      <c r="J44" s="23">
        <f t="shared" si="6"/>
        <v>0.7266858507401326</v>
      </c>
      <c r="K44" s="4">
        <v>100</v>
      </c>
      <c r="L44" s="13">
        <f t="shared" si="7"/>
        <v>0.7236273138052809</v>
      </c>
      <c r="M44" s="4">
        <v>100</v>
      </c>
      <c r="N44" s="23">
        <f t="shared" si="8"/>
        <v>2.4367306232823274</v>
      </c>
      <c r="O44" s="4">
        <v>100</v>
      </c>
      <c r="P44" s="23">
        <f t="shared" si="9"/>
        <v>2.4828955594675515</v>
      </c>
      <c r="Q44" s="4">
        <v>100</v>
      </c>
      <c r="R44" s="23">
        <f t="shared" si="10"/>
        <v>2.4836843949486247</v>
      </c>
      <c r="S44" s="4">
        <v>100</v>
      </c>
      <c r="T44" s="13">
        <f t="shared" si="2"/>
        <v>2.4677701925661677</v>
      </c>
      <c r="U44" s="13"/>
      <c r="V44" s="23">
        <f t="shared" si="11"/>
        <v>0</v>
      </c>
      <c r="W44" s="13"/>
      <c r="X44" s="23">
        <f t="shared" si="12"/>
        <v>0</v>
      </c>
      <c r="Y44" s="13"/>
      <c r="Z44" s="23">
        <f t="shared" si="13"/>
        <v>0</v>
      </c>
      <c r="AA44" s="13"/>
      <c r="AB44" s="23">
        <f t="shared" si="14"/>
        <v>0</v>
      </c>
      <c r="AC44" s="13"/>
      <c r="AK44" s="4">
        <v>100</v>
      </c>
      <c r="AL44" s="13">
        <f t="shared" si="15"/>
        <v>3.1328803520430464</v>
      </c>
      <c r="AM44" s="4">
        <v>100</v>
      </c>
      <c r="AN44" s="13">
        <f t="shared" si="15"/>
        <v>3.2309419213825423</v>
      </c>
      <c r="AO44" s="4">
        <v>100</v>
      </c>
      <c r="AP44" s="13">
        <f t="shared" si="15"/>
        <v>3.2103702456887575</v>
      </c>
      <c r="AQ44" s="4">
        <v>100</v>
      </c>
      <c r="AR44" s="13">
        <f t="shared" si="3"/>
        <v>3.1913975063714486</v>
      </c>
    </row>
    <row r="45" spans="2:44" ht="12.75">
      <c r="B45" s="2" t="s">
        <v>116</v>
      </c>
      <c r="D45" s="2" t="s">
        <v>32</v>
      </c>
      <c r="E45" s="4"/>
      <c r="F45" s="23">
        <f t="shared" si="4"/>
        <v>212.83239616819037</v>
      </c>
      <c r="G45" s="4"/>
      <c r="H45" s="23">
        <f t="shared" si="5"/>
        <v>494.48146944942476</v>
      </c>
      <c r="I45" s="4"/>
      <c r="J45" s="23">
        <f t="shared" si="6"/>
        <v>280.35719550159433</v>
      </c>
      <c r="K45" s="4"/>
      <c r="L45" s="13">
        <f t="shared" si="7"/>
        <v>329.2236870397365</v>
      </c>
      <c r="M45" s="4">
        <v>100</v>
      </c>
      <c r="N45" s="23">
        <f t="shared" si="8"/>
        <v>300.4692651786217</v>
      </c>
      <c r="O45" s="4">
        <v>100</v>
      </c>
      <c r="P45" s="23">
        <f t="shared" si="9"/>
        <v>299.2914157193886</v>
      </c>
      <c r="Q45" s="4">
        <v>100</v>
      </c>
      <c r="R45" s="23">
        <f t="shared" si="10"/>
        <v>305.84421327446654</v>
      </c>
      <c r="S45" s="4">
        <v>100</v>
      </c>
      <c r="T45" s="13">
        <f t="shared" si="2"/>
        <v>301.86829805749227</v>
      </c>
      <c r="U45" s="13"/>
      <c r="V45" s="23">
        <f t="shared" si="11"/>
        <v>0</v>
      </c>
      <c r="W45" s="13"/>
      <c r="X45" s="23">
        <f t="shared" si="12"/>
        <v>0</v>
      </c>
      <c r="Y45" s="13"/>
      <c r="Z45" s="23">
        <f t="shared" si="13"/>
        <v>0</v>
      </c>
      <c r="AA45" s="13"/>
      <c r="AB45" s="23">
        <f t="shared" si="14"/>
        <v>0</v>
      </c>
      <c r="AC45" s="13"/>
      <c r="AK45" s="4">
        <f>N45/AL45*100</f>
        <v>58.536585365853654</v>
      </c>
      <c r="AL45" s="13">
        <f t="shared" si="15"/>
        <v>513.3016613468121</v>
      </c>
      <c r="AM45" s="4">
        <f>P45/AN45*100</f>
        <v>37.70491803278688</v>
      </c>
      <c r="AN45" s="13">
        <f t="shared" si="15"/>
        <v>793.7728851688134</v>
      </c>
      <c r="AO45" s="4">
        <f>R45/AP45*100</f>
        <v>52.17391304347827</v>
      </c>
      <c r="AP45" s="13">
        <f t="shared" si="15"/>
        <v>586.2014087760608</v>
      </c>
      <c r="AQ45" s="4">
        <f>T45/AR45*100</f>
        <v>47.832693994835815</v>
      </c>
      <c r="AR45" s="13">
        <f t="shared" si="3"/>
        <v>631.0919850972288</v>
      </c>
    </row>
    <row r="46" spans="2:44" ht="12.75">
      <c r="B46" s="2" t="s">
        <v>117</v>
      </c>
      <c r="D46" s="2" t="s">
        <v>32</v>
      </c>
      <c r="E46" s="4">
        <v>100</v>
      </c>
      <c r="F46" s="23">
        <f t="shared" si="4"/>
        <v>12.519552715775903</v>
      </c>
      <c r="G46" s="4">
        <v>100</v>
      </c>
      <c r="H46" s="23">
        <f t="shared" si="5"/>
        <v>13.012670248669073</v>
      </c>
      <c r="I46" s="4">
        <v>100</v>
      </c>
      <c r="J46" s="23">
        <f t="shared" si="6"/>
        <v>12.743508886436103</v>
      </c>
      <c r="K46" s="4">
        <v>100</v>
      </c>
      <c r="L46" s="13">
        <f t="shared" si="7"/>
        <v>12.758577283627027</v>
      </c>
      <c r="N46" s="23">
        <f t="shared" si="8"/>
        <v>125.19552715775905</v>
      </c>
      <c r="P46" s="23">
        <f t="shared" si="9"/>
        <v>156.1520429840289</v>
      </c>
      <c r="R46" s="23">
        <f t="shared" si="10"/>
        <v>216.6396510694138</v>
      </c>
      <c r="T46" s="13">
        <f t="shared" si="2"/>
        <v>165.99574040373392</v>
      </c>
      <c r="U46" s="13"/>
      <c r="V46" s="23">
        <f t="shared" si="11"/>
        <v>0</v>
      </c>
      <c r="W46" s="13"/>
      <c r="X46" s="23">
        <f t="shared" si="12"/>
        <v>0</v>
      </c>
      <c r="Y46" s="13"/>
      <c r="Z46" s="23">
        <f t="shared" si="13"/>
        <v>0</v>
      </c>
      <c r="AA46" s="13"/>
      <c r="AB46" s="23">
        <f t="shared" si="14"/>
        <v>0</v>
      </c>
      <c r="AC46" s="13"/>
      <c r="AK46" s="4"/>
      <c r="AL46" s="13">
        <f t="shared" si="15"/>
        <v>137.71507987353496</v>
      </c>
      <c r="AM46" s="4"/>
      <c r="AN46" s="13">
        <f t="shared" si="15"/>
        <v>169.16471323269798</v>
      </c>
      <c r="AO46" s="4"/>
      <c r="AP46" s="13">
        <f t="shared" si="15"/>
        <v>229.3831599558499</v>
      </c>
      <c r="AQ46" s="4"/>
      <c r="AR46" s="13">
        <f t="shared" si="3"/>
        <v>178.75431768736095</v>
      </c>
    </row>
    <row r="47" spans="2:44" ht="12.75">
      <c r="B47" s="2" t="s">
        <v>107</v>
      </c>
      <c r="D47" s="2" t="s">
        <v>32</v>
      </c>
      <c r="E47" s="4">
        <v>100</v>
      </c>
      <c r="F47" s="23">
        <f t="shared" si="4"/>
        <v>25.039105431551807</v>
      </c>
      <c r="G47" s="4">
        <v>100</v>
      </c>
      <c r="H47" s="23">
        <f t="shared" si="5"/>
        <v>26.025340497338146</v>
      </c>
      <c r="I47" s="4">
        <v>100</v>
      </c>
      <c r="J47" s="23">
        <f t="shared" si="6"/>
        <v>25.487017772872207</v>
      </c>
      <c r="K47" s="4">
        <v>100</v>
      </c>
      <c r="L47" s="13">
        <f t="shared" si="7"/>
        <v>25.517154567254053</v>
      </c>
      <c r="M47" s="4">
        <v>100</v>
      </c>
      <c r="N47" s="23">
        <f t="shared" si="8"/>
        <v>75.11731629465542</v>
      </c>
      <c r="O47" s="4">
        <v>100</v>
      </c>
      <c r="P47" s="23">
        <f t="shared" si="9"/>
        <v>78.07602149201445</v>
      </c>
      <c r="Q47" s="4">
        <v>100</v>
      </c>
      <c r="R47" s="23">
        <f t="shared" si="10"/>
        <v>76.46105331861664</v>
      </c>
      <c r="S47" s="4">
        <v>100</v>
      </c>
      <c r="T47" s="13">
        <f t="shared" si="2"/>
        <v>76.55146370176216</v>
      </c>
      <c r="U47" s="13"/>
      <c r="V47" s="23">
        <f t="shared" si="11"/>
        <v>0</v>
      </c>
      <c r="W47" s="13"/>
      <c r="X47" s="23">
        <f t="shared" si="12"/>
        <v>0</v>
      </c>
      <c r="Y47" s="13"/>
      <c r="Z47" s="23">
        <f t="shared" si="13"/>
        <v>0</v>
      </c>
      <c r="AA47" s="13"/>
      <c r="AB47" s="23">
        <f t="shared" si="14"/>
        <v>0</v>
      </c>
      <c r="AC47" s="13"/>
      <c r="AK47" s="4">
        <v>100</v>
      </c>
      <c r="AL47" s="13">
        <f t="shared" si="15"/>
        <v>100.15642172620723</v>
      </c>
      <c r="AM47" s="4">
        <v>100</v>
      </c>
      <c r="AN47" s="13">
        <f t="shared" si="15"/>
        <v>104.1013619893526</v>
      </c>
      <c r="AO47" s="4">
        <v>100</v>
      </c>
      <c r="AP47" s="13">
        <f t="shared" si="15"/>
        <v>101.94807109148884</v>
      </c>
      <c r="AQ47" s="4">
        <v>100</v>
      </c>
      <c r="AR47" s="13">
        <f t="shared" si="3"/>
        <v>102.06861826901621</v>
      </c>
    </row>
    <row r="48" spans="2:44" ht="12.75">
      <c r="B48" s="2" t="s">
        <v>118</v>
      </c>
      <c r="D48" s="2" t="s">
        <v>32</v>
      </c>
      <c r="E48" s="4">
        <v>100</v>
      </c>
      <c r="F48" s="23">
        <f t="shared" si="4"/>
        <v>25.039105431551807</v>
      </c>
      <c r="G48" s="4">
        <v>100</v>
      </c>
      <c r="H48" s="23">
        <f t="shared" si="5"/>
        <v>26.025340497338146</v>
      </c>
      <c r="I48" s="4">
        <v>100</v>
      </c>
      <c r="J48" s="23">
        <f t="shared" si="6"/>
        <v>25.487017772872207</v>
      </c>
      <c r="K48" s="4">
        <v>100</v>
      </c>
      <c r="L48" s="13">
        <f t="shared" si="7"/>
        <v>25.517154567254053</v>
      </c>
      <c r="M48" s="4">
        <v>100</v>
      </c>
      <c r="N48" s="23">
        <f t="shared" si="8"/>
        <v>75.11731629465542</v>
      </c>
      <c r="O48" s="4">
        <v>100</v>
      </c>
      <c r="P48" s="23">
        <f t="shared" si="9"/>
        <v>78.07602149201445</v>
      </c>
      <c r="Q48" s="4">
        <v>100</v>
      </c>
      <c r="R48" s="23">
        <f t="shared" si="10"/>
        <v>76.46105331861664</v>
      </c>
      <c r="S48" s="4">
        <v>100</v>
      </c>
      <c r="T48" s="13">
        <f t="shared" si="2"/>
        <v>76.55146370176216</v>
      </c>
      <c r="U48" s="13"/>
      <c r="V48" s="23">
        <f t="shared" si="11"/>
        <v>0</v>
      </c>
      <c r="W48" s="13"/>
      <c r="X48" s="23">
        <f t="shared" si="12"/>
        <v>0</v>
      </c>
      <c r="Y48" s="13"/>
      <c r="Z48" s="23">
        <f t="shared" si="13"/>
        <v>0</v>
      </c>
      <c r="AA48" s="13"/>
      <c r="AB48" s="23">
        <f t="shared" si="14"/>
        <v>0</v>
      </c>
      <c r="AC48" s="13"/>
      <c r="AK48" s="4">
        <v>100</v>
      </c>
      <c r="AL48" s="13">
        <f t="shared" si="15"/>
        <v>100.15642172620723</v>
      </c>
      <c r="AM48" s="4">
        <v>100</v>
      </c>
      <c r="AN48" s="13">
        <f t="shared" si="15"/>
        <v>104.1013619893526</v>
      </c>
      <c r="AO48" s="4">
        <v>100</v>
      </c>
      <c r="AP48" s="13">
        <f t="shared" si="15"/>
        <v>101.94807109148884</v>
      </c>
      <c r="AQ48" s="4">
        <v>100</v>
      </c>
      <c r="AR48" s="13">
        <f t="shared" si="3"/>
        <v>102.06861826901621</v>
      </c>
    </row>
    <row r="49" spans="2:44" ht="12.75">
      <c r="B49" s="2" t="s">
        <v>119</v>
      </c>
      <c r="D49" s="2" t="s">
        <v>32</v>
      </c>
      <c r="E49" s="4">
        <v>100</v>
      </c>
      <c r="F49" s="23">
        <f t="shared" si="4"/>
        <v>37.55865814732771</v>
      </c>
      <c r="G49" s="4">
        <v>100</v>
      </c>
      <c r="H49" s="23">
        <f t="shared" si="5"/>
        <v>39.038010746007224</v>
      </c>
      <c r="I49" s="4">
        <v>100</v>
      </c>
      <c r="J49" s="23">
        <f t="shared" si="6"/>
        <v>38.23052665930832</v>
      </c>
      <c r="K49" s="4">
        <v>100</v>
      </c>
      <c r="L49" s="13">
        <f>AVERAGE(F49,H49,J49)</f>
        <v>38.27573185088108</v>
      </c>
      <c r="N49" s="23">
        <f t="shared" si="8"/>
        <v>813.7709265254339</v>
      </c>
      <c r="P49" s="23">
        <f t="shared" si="9"/>
        <v>624.6081719361156</v>
      </c>
      <c r="R49" s="23">
        <f t="shared" si="10"/>
        <v>573.4578998896246</v>
      </c>
      <c r="T49" s="13">
        <f t="shared" si="2"/>
        <v>670.6123327837246</v>
      </c>
      <c r="U49" s="13"/>
      <c r="V49" s="23">
        <f t="shared" si="11"/>
        <v>0</v>
      </c>
      <c r="W49" s="13"/>
      <c r="X49" s="23">
        <f t="shared" si="12"/>
        <v>0</v>
      </c>
      <c r="Y49" s="13"/>
      <c r="Z49" s="23">
        <f t="shared" si="13"/>
        <v>0</v>
      </c>
      <c r="AA49" s="13"/>
      <c r="AB49" s="23">
        <f t="shared" si="14"/>
        <v>0</v>
      </c>
      <c r="AC49" s="13"/>
      <c r="AK49" s="4"/>
      <c r="AL49" s="13">
        <f t="shared" si="15"/>
        <v>851.3295846727616</v>
      </c>
      <c r="AM49" s="4"/>
      <c r="AN49" s="13">
        <f t="shared" si="15"/>
        <v>663.6461826821228</v>
      </c>
      <c r="AO49" s="4"/>
      <c r="AP49" s="13">
        <f t="shared" si="15"/>
        <v>611.688426548933</v>
      </c>
      <c r="AQ49" s="4"/>
      <c r="AR49" s="13">
        <f t="shared" si="3"/>
        <v>708.8880646346057</v>
      </c>
    </row>
    <row r="50" spans="5:44" ht="12.75">
      <c r="E50" s="4"/>
      <c r="F50" s="21"/>
      <c r="G50" s="4"/>
      <c r="H50" s="21"/>
      <c r="J50" s="11"/>
      <c r="K50" s="4"/>
      <c r="L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L50" s="13"/>
      <c r="AN50" s="13"/>
      <c r="AP50" s="13"/>
      <c r="AR50" s="13"/>
    </row>
    <row r="51" spans="2:44" ht="12.75">
      <c r="B51" s="2" t="s">
        <v>33</v>
      </c>
      <c r="D51" s="2" t="s">
        <v>32</v>
      </c>
      <c r="E51" s="4">
        <v>100</v>
      </c>
      <c r="F51" s="8">
        <f>SUM(F41,F43)</f>
        <v>25.039105431551807</v>
      </c>
      <c r="G51" s="3">
        <f>H41/H51*100</f>
        <v>50</v>
      </c>
      <c r="H51" s="8">
        <f>SUM(H41,H43)</f>
        <v>26.025340497338146</v>
      </c>
      <c r="I51" s="4">
        <v>100</v>
      </c>
      <c r="J51" s="11">
        <f>SUM(J41/2,J43/2)</f>
        <v>12.743508886436103</v>
      </c>
      <c r="K51" s="4">
        <v>100</v>
      </c>
      <c r="L51" s="13">
        <f>AVERAGE(F51,H51,J51)</f>
        <v>21.26931827177535</v>
      </c>
      <c r="M51" s="4">
        <v>100</v>
      </c>
      <c r="N51" s="8">
        <f>N43+N41</f>
        <v>400.62568690482897</v>
      </c>
      <c r="O51" s="4">
        <v>100</v>
      </c>
      <c r="P51" s="8">
        <f>SUM(P41,P43)</f>
        <v>416.4054479574103</v>
      </c>
      <c r="Q51" s="4">
        <v>100</v>
      </c>
      <c r="R51" s="8">
        <f>SUM(R41,R43)</f>
        <v>420.53579325239144</v>
      </c>
      <c r="S51" s="4">
        <v>100</v>
      </c>
      <c r="T51" s="8">
        <f>SUM(T41,T43)</f>
        <v>412.52230937154354</v>
      </c>
      <c r="U51" s="13"/>
      <c r="V51" s="13"/>
      <c r="W51" s="13"/>
      <c r="X51" s="13"/>
      <c r="Y51" s="13"/>
      <c r="Z51" s="13"/>
      <c r="AA51" s="13"/>
      <c r="AB51" s="13"/>
      <c r="AC51" s="13"/>
      <c r="AK51" s="3">
        <v>100</v>
      </c>
      <c r="AL51" s="13">
        <f>SUM(AD51,V51,N51,F51)</f>
        <v>425.6647923363808</v>
      </c>
      <c r="AM51" s="3">
        <f>(H51*G51/100+P51)/AN51*100</f>
        <v>97.05882352941175</v>
      </c>
      <c r="AN51" s="13">
        <f>SUM(AF51,X51,P51,H51)</f>
        <v>442.43078845474844</v>
      </c>
      <c r="AO51" s="3">
        <v>100</v>
      </c>
      <c r="AP51" s="13">
        <f>SUM(AH51,Z51,R51,J51)</f>
        <v>433.2793021388276</v>
      </c>
      <c r="AQ51" s="3">
        <v>100</v>
      </c>
      <c r="AR51" s="13">
        <f>SUM(AJ51,AB51,T51,L51)</f>
        <v>433.7916276433189</v>
      </c>
    </row>
    <row r="52" spans="2:44" ht="12.75">
      <c r="B52" s="2" t="s">
        <v>34</v>
      </c>
      <c r="D52" s="2" t="s">
        <v>32</v>
      </c>
      <c r="E52" s="3">
        <f>SUM(F38,F40)/F52*100</f>
        <v>2.6666666666666665</v>
      </c>
      <c r="F52" s="9">
        <f>SUM(F37,F40,F42)</f>
        <v>938.9664536831929</v>
      </c>
      <c r="G52" s="3">
        <f>SUM(H38,H40)/H52*100</f>
        <v>1.9417475728155338</v>
      </c>
      <c r="H52" s="9">
        <f>SUM(H37,H40,H42)</f>
        <v>1340.3050356129147</v>
      </c>
      <c r="I52" s="3">
        <f>SUM(J38,J40)/J52*100</f>
        <v>2.083333333333333</v>
      </c>
      <c r="J52" s="9">
        <f>SUM(J37,J40,J42)</f>
        <v>1223.3768530978662</v>
      </c>
      <c r="K52" s="3">
        <f>SUM(L38,L40)/L52*100</f>
        <v>2.1855309531142124</v>
      </c>
      <c r="L52" s="13">
        <f>AVERAGE(F52,H52,J52)</f>
        <v>1167.5494474646578</v>
      </c>
      <c r="M52" s="3">
        <f>SUM(N38,N40)/N52*100</f>
        <v>29.629629629629626</v>
      </c>
      <c r="N52" s="8">
        <f>N38+N40+N42</f>
        <v>338.0279233259494</v>
      </c>
      <c r="O52" s="3">
        <f>SUM(P38,P40)/P52*100</f>
        <v>44.44444444444444</v>
      </c>
      <c r="P52" s="8">
        <f>P38+P40+P42</f>
        <v>234.22806447604336</v>
      </c>
      <c r="Q52" s="3">
        <f>SUM(R38,R40)/R52*100</f>
        <v>47.05882352941176</v>
      </c>
      <c r="R52" s="8">
        <f>R38+R40+R42</f>
        <v>216.6396510694138</v>
      </c>
      <c r="S52" s="3">
        <f>SUM(T38,T40)/T52*100</f>
        <v>38.81449455660657</v>
      </c>
      <c r="T52" s="8">
        <f>T38+T40+T42</f>
        <v>262.96521295713546</v>
      </c>
      <c r="U52" s="13"/>
      <c r="V52" s="13">
        <f>V42</f>
        <v>5133.01661346812</v>
      </c>
      <c r="W52" s="13"/>
      <c r="X52" s="13">
        <f>X42</f>
        <v>5100.966737478277</v>
      </c>
      <c r="Y52" s="13"/>
      <c r="Z52" s="13">
        <f>Z42</f>
        <v>2523.2147595143488</v>
      </c>
      <c r="AA52" s="13"/>
      <c r="AB52" s="13">
        <f>AB42</f>
        <v>4252.005783890705</v>
      </c>
      <c r="AC52" s="13"/>
      <c r="AK52" s="11">
        <f>(F52*E52/100+N52*M52/100)/AL52*100</f>
        <v>1.9531249999999996</v>
      </c>
      <c r="AL52" s="13">
        <f>SUM(AD52,V52,N52,F52)</f>
        <v>6410.0109904772635</v>
      </c>
      <c r="AM52" s="11">
        <f>(H52*G52/100+P52*O52/100)/AN52*100</f>
        <v>1.9493177387914233</v>
      </c>
      <c r="AN52" s="13">
        <f>SUM(AF52,X52,P52,H52)</f>
        <v>6675.499837567235</v>
      </c>
      <c r="AO52" s="3">
        <f>(J52*I52/100+R52*Q52/100)/AP52*100</f>
        <v>3.215434083601286</v>
      </c>
      <c r="AP52" s="13">
        <f>SUM(AH52,Z52,R52,J52)</f>
        <v>3963.2312636816287</v>
      </c>
      <c r="AQ52" s="3">
        <f>(L52*K52/100+T52*S52/100)/AR52*100</f>
        <v>2.245232095275045</v>
      </c>
      <c r="AR52" s="13">
        <f>SUM(AJ52,AB52,T52,L52)</f>
        <v>5682.520444312498</v>
      </c>
    </row>
    <row r="53" ht="12.75">
      <c r="AL53" s="13"/>
    </row>
    <row r="54" spans="1:20" ht="12.75">
      <c r="A54" s="3" t="s">
        <v>109</v>
      </c>
      <c r="B54" s="5" t="s">
        <v>59</v>
      </c>
      <c r="C54" s="5"/>
      <c r="F54" s="4" t="s">
        <v>124</v>
      </c>
      <c r="G54" s="4"/>
      <c r="H54" s="4" t="s">
        <v>125</v>
      </c>
      <c r="I54" s="4"/>
      <c r="J54" s="4" t="s">
        <v>126</v>
      </c>
      <c r="K54" s="4"/>
      <c r="L54" s="4" t="s">
        <v>18</v>
      </c>
      <c r="N54" s="4" t="s">
        <v>124</v>
      </c>
      <c r="P54" s="4" t="s">
        <v>125</v>
      </c>
      <c r="R54" s="4" t="s">
        <v>126</v>
      </c>
      <c r="T54" s="4" t="s">
        <v>18</v>
      </c>
    </row>
    <row r="55" spans="2:12" ht="12.75">
      <c r="B55" s="5"/>
      <c r="C55" s="5"/>
      <c r="F55" s="4"/>
      <c r="G55" s="4"/>
      <c r="H55" s="4"/>
      <c r="I55" s="4"/>
      <c r="J55" s="4"/>
      <c r="K55" s="4"/>
      <c r="L55" s="4"/>
    </row>
    <row r="56" spans="2:20" ht="12.75">
      <c r="B56" s="33" t="s">
        <v>127</v>
      </c>
      <c r="C56" s="5"/>
      <c r="F56" s="4" t="s">
        <v>145</v>
      </c>
      <c r="G56" s="4"/>
      <c r="H56" s="4" t="s">
        <v>145</v>
      </c>
      <c r="I56" s="4"/>
      <c r="J56" s="4" t="s">
        <v>145</v>
      </c>
      <c r="K56" s="4"/>
      <c r="L56" s="4" t="s">
        <v>145</v>
      </c>
      <c r="N56" s="4" t="s">
        <v>146</v>
      </c>
      <c r="P56" s="4" t="s">
        <v>146</v>
      </c>
      <c r="R56" s="4" t="s">
        <v>146</v>
      </c>
      <c r="T56" s="4" t="s">
        <v>146</v>
      </c>
    </row>
    <row r="57" spans="2:20" ht="12.75">
      <c r="B57" s="33" t="s">
        <v>128</v>
      </c>
      <c r="F57" s="6" t="s">
        <v>129</v>
      </c>
      <c r="H57" s="6" t="s">
        <v>129</v>
      </c>
      <c r="J57" s="6" t="s">
        <v>129</v>
      </c>
      <c r="L57" s="6" t="s">
        <v>129</v>
      </c>
      <c r="N57" s="6" t="s">
        <v>57</v>
      </c>
      <c r="O57" s="6"/>
      <c r="P57" s="6" t="s">
        <v>57</v>
      </c>
      <c r="Q57" s="6"/>
      <c r="R57" s="6" t="s">
        <v>57</v>
      </c>
      <c r="S57" s="6"/>
      <c r="T57" s="6" t="s">
        <v>57</v>
      </c>
    </row>
    <row r="58" spans="2:38" ht="12.75">
      <c r="B58" s="2" t="s">
        <v>35</v>
      </c>
      <c r="F58" s="6" t="s">
        <v>79</v>
      </c>
      <c r="G58" s="4"/>
      <c r="H58" s="6" t="s">
        <v>79</v>
      </c>
      <c r="I58" s="4"/>
      <c r="J58" s="6" t="s">
        <v>79</v>
      </c>
      <c r="K58" s="4"/>
      <c r="L58" s="6" t="s">
        <v>79</v>
      </c>
      <c r="N58" s="6" t="s">
        <v>57</v>
      </c>
      <c r="P58" s="6" t="s">
        <v>57</v>
      </c>
      <c r="R58" s="6" t="s">
        <v>57</v>
      </c>
      <c r="T58" s="6" t="s">
        <v>57</v>
      </c>
      <c r="U58" s="6"/>
      <c r="V58" s="6"/>
      <c r="W58" s="6"/>
      <c r="X58" s="6"/>
      <c r="Y58" s="6"/>
      <c r="Z58" s="6"/>
      <c r="AA58" s="6"/>
      <c r="AL58" s="13"/>
    </row>
    <row r="59" spans="2:38" ht="12.75">
      <c r="B59" s="2" t="s">
        <v>112</v>
      </c>
      <c r="D59" s="2" t="s">
        <v>26</v>
      </c>
      <c r="F59" s="3">
        <v>8500</v>
      </c>
      <c r="H59" s="3">
        <v>8500</v>
      </c>
      <c r="J59" s="3">
        <v>8490</v>
      </c>
      <c r="L59" s="13">
        <f>AVERAGE(F59,H59,J59)</f>
        <v>8496.666666666666</v>
      </c>
      <c r="N59" s="6">
        <f>27.84*2000</f>
        <v>55680</v>
      </c>
      <c r="O59" s="6"/>
      <c r="P59" s="6">
        <f>28.03*2000</f>
        <v>56060</v>
      </c>
      <c r="Q59" s="6"/>
      <c r="R59" s="6">
        <f>28.02*2000</f>
        <v>56040</v>
      </c>
      <c r="T59" s="13">
        <f>AVERAGE(27.84,28.03,28.02)*2000</f>
        <v>55926.66666666667</v>
      </c>
      <c r="U59" s="13"/>
      <c r="V59" s="13"/>
      <c r="W59" s="13"/>
      <c r="X59" s="13"/>
      <c r="Y59" s="13"/>
      <c r="Z59" s="13"/>
      <c r="AA59" s="13"/>
      <c r="AL59" s="1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spans="6:27" ht="12.75">
      <c r="F64" s="9"/>
      <c r="G64" s="20"/>
      <c r="H64" s="9"/>
      <c r="I64" s="20"/>
      <c r="J64" s="9"/>
      <c r="K64" s="9"/>
      <c r="L64" s="13"/>
      <c r="T64" s="13"/>
      <c r="U64" s="13"/>
      <c r="V64" s="13"/>
      <c r="W64" s="13"/>
      <c r="X64" s="13"/>
      <c r="Y64" s="13"/>
      <c r="Z64" s="13"/>
      <c r="AA64" s="1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="99" zoomScaleNormal="99" workbookViewId="0" topLeftCell="A1">
      <selection activeCell="C9" sqref="C9:E9"/>
    </sheetView>
  </sheetViews>
  <sheetFormatPr defaultColWidth="9.140625" defaultRowHeight="12.75"/>
  <cols>
    <col min="1" max="1" width="23.7109375" style="14" customWidth="1"/>
    <col min="2" max="2" width="8.8515625" style="14" customWidth="1"/>
    <col min="3" max="5" width="10.8515625" style="14" customWidth="1"/>
    <col min="6" max="6" width="3.7109375" style="14" customWidth="1"/>
    <col min="7" max="16384" width="10.8515625" style="14" customWidth="1"/>
  </cols>
  <sheetData>
    <row r="1" ht="12.75">
      <c r="A1" s="15" t="s">
        <v>43</v>
      </c>
    </row>
    <row r="3" spans="1:5" ht="12.75">
      <c r="A3" s="15" t="s">
        <v>60</v>
      </c>
      <c r="C3" s="35" t="s">
        <v>124</v>
      </c>
      <c r="D3" s="35" t="s">
        <v>125</v>
      </c>
      <c r="E3" s="35" t="s">
        <v>126</v>
      </c>
    </row>
    <row r="5" spans="1:5" ht="12.75">
      <c r="A5" s="14" t="s">
        <v>77</v>
      </c>
      <c r="B5" s="14" t="s">
        <v>30</v>
      </c>
      <c r="C5" s="26">
        <v>1461.6</v>
      </c>
      <c r="D5" s="26">
        <v>1470.2</v>
      </c>
      <c r="E5" s="26">
        <v>1476.5</v>
      </c>
    </row>
    <row r="6" spans="1:5" ht="12.75">
      <c r="A6" s="14" t="s">
        <v>55</v>
      </c>
      <c r="B6" s="14" t="s">
        <v>81</v>
      </c>
      <c r="C6" s="26">
        <v>744.96</v>
      </c>
      <c r="D6" s="26">
        <v>735.19</v>
      </c>
      <c r="E6" s="26">
        <v>747.22</v>
      </c>
    </row>
    <row r="7" spans="1:5" ht="12.75">
      <c r="A7" s="14" t="s">
        <v>56</v>
      </c>
      <c r="B7" s="14" t="s">
        <v>30</v>
      </c>
      <c r="C7" s="26">
        <v>383.49</v>
      </c>
      <c r="D7" s="26">
        <v>387.75</v>
      </c>
      <c r="E7" s="26">
        <v>385.76</v>
      </c>
    </row>
    <row r="9" spans="1:5" ht="12.75">
      <c r="A9" s="15" t="s">
        <v>59</v>
      </c>
      <c r="C9" s="35" t="s">
        <v>124</v>
      </c>
      <c r="D9" s="35" t="s">
        <v>125</v>
      </c>
      <c r="E9" s="35" t="s">
        <v>126</v>
      </c>
    </row>
    <row r="11" spans="1:5" ht="12.75">
      <c r="A11" s="14" t="s">
        <v>77</v>
      </c>
      <c r="B11" s="14" t="s">
        <v>30</v>
      </c>
      <c r="C11" s="26">
        <v>1099.2</v>
      </c>
      <c r="D11" s="26">
        <v>1092.5</v>
      </c>
      <c r="E11" s="26">
        <v>1102.3</v>
      </c>
    </row>
    <row r="12" spans="1:6" ht="12.75">
      <c r="A12" s="14" t="s">
        <v>55</v>
      </c>
      <c r="B12" s="14" t="s">
        <v>81</v>
      </c>
      <c r="C12" s="26">
        <v>638.25</v>
      </c>
      <c r="D12" s="26">
        <v>642.11</v>
      </c>
      <c r="E12" s="26">
        <v>641.75</v>
      </c>
      <c r="F12" s="4"/>
    </row>
    <row r="13" spans="1:7" ht="12.75">
      <c r="A13" s="14" t="s">
        <v>56</v>
      </c>
      <c r="B13" s="14" t="s">
        <v>30</v>
      </c>
      <c r="C13" s="26">
        <v>336.41</v>
      </c>
      <c r="D13" s="26">
        <v>330.2</v>
      </c>
      <c r="E13" s="26">
        <v>326.91</v>
      </c>
      <c r="F13" s="3"/>
      <c r="G13" s="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EERGC</cp:lastModifiedBy>
  <cp:lastPrinted>2004-02-23T22:07:54Z</cp:lastPrinted>
  <dcterms:created xsi:type="dcterms:W3CDTF">2000-03-28T20:10:31Z</dcterms:created>
  <dcterms:modified xsi:type="dcterms:W3CDTF">2004-02-23T22:08:00Z</dcterms:modified>
  <cp:category/>
  <cp:version/>
  <cp:contentType/>
  <cp:contentStatus/>
</cp:coreProperties>
</file>