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<sst xmlns="http://schemas.openxmlformats.org/spreadsheetml/2006/main" count="405" uniqueCount="152">
  <si>
    <t>Stack Gas Emissions</t>
  </si>
  <si>
    <t>HW</t>
  </si>
  <si>
    <t>PM</t>
  </si>
  <si>
    <t>HCl</t>
  </si>
  <si>
    <t>Cl2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</si>
  <si>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</si>
  <si>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</si>
  <si>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</si>
  <si>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</si>
  <si>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</si>
  <si>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</si>
  <si>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</si>
  <si>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</si>
  <si>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</si>
  <si>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</si>
  <si>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</si>
  <si>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</si>
  <si>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</si>
  <si>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</si>
  <si>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</si>
  <si>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</si>
  <si>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</si>
  <si>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</si>
  <si>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</si>
  <si>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</si>
  <si>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</si>
  <si>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</si>
  <si>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</si>
  <si>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</si>
  <si>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</si>
  <si>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</si>
  <si>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</si>
  <si>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</si>
  <si>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</si>
  <si>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</si>
  <si>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</si>
  <si>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</si>
  <si>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Btu/lb</t>
  </si>
  <si>
    <t>Chlorine</t>
  </si>
  <si>
    <t>Stack Gas Flowrate</t>
  </si>
  <si>
    <t>Estimated Firing Rate</t>
  </si>
  <si>
    <t>Process Information</t>
  </si>
  <si>
    <t>F</t>
  </si>
  <si>
    <t>n</t>
  </si>
  <si>
    <t>Eastman Chemical Co</t>
  </si>
  <si>
    <t>kW</t>
  </si>
  <si>
    <t>TND003376928</t>
  </si>
  <si>
    <t>Eastman Chemicals Co. - Tennessee Eastman Div</t>
  </si>
  <si>
    <t>Kingsport</t>
  </si>
  <si>
    <t>TN</t>
  </si>
  <si>
    <t>14 Blrs (# 11 - 24) exhaust to one common breeching interconnected to 3 stacks</t>
  </si>
  <si>
    <t>sootblow</t>
  </si>
  <si>
    <t>ft/min</t>
  </si>
  <si>
    <t>klb/hr</t>
  </si>
  <si>
    <t>Research Cottrell, 2 fields; 11,232 ft2 plate area for 118 kacfm @ 350 F, SCA=95 ft2/kacfm</t>
  </si>
  <si>
    <t>Recertification of Compliance for Tennessee Eastman Division Boilers 21 and 22; dated August 11, 1997</t>
  </si>
  <si>
    <t>CoC; max feedrates</t>
  </si>
  <si>
    <t>CoC; min combustion temperature</t>
  </si>
  <si>
    <t>ESP</t>
  </si>
  <si>
    <t>Babcock &amp; Wilcox, coal-fired spreader stoker watertube boiler, 216 MM Btu/hr, comb chamber dimensions (ft): 24 w, 16 l, 40 h</t>
  </si>
  <si>
    <t>Supplemental Fuel</t>
  </si>
  <si>
    <t>Hazardous Wastes</t>
  </si>
  <si>
    <t>Haz Waste Description</t>
  </si>
  <si>
    <t>June 10-12, 1997</t>
  </si>
  <si>
    <t>nd</t>
  </si>
  <si>
    <t>Heating Value</t>
  </si>
  <si>
    <t>lb/hr</t>
  </si>
  <si>
    <t>Coal</t>
  </si>
  <si>
    <t>Biosludge</t>
  </si>
  <si>
    <t>Total</t>
  </si>
  <si>
    <t>Boiler No. 22</t>
  </si>
  <si>
    <t>Boiler No. 21</t>
  </si>
  <si>
    <t xml:space="preserve">BIF Interim Status Tier III for metals, HCl/Cl2 </t>
  </si>
  <si>
    <t>Capacity (MMBtu/hr)</t>
  </si>
  <si>
    <t>Feedstreams</t>
  </si>
  <si>
    <t>Comb Chamber Outlet Temperature</t>
  </si>
  <si>
    <t>ESP Inlet Temperature</t>
  </si>
  <si>
    <t>ESP Power</t>
  </si>
  <si>
    <t>Steam Production</t>
  </si>
  <si>
    <t>ESP Air Flow (velocity)</t>
  </si>
  <si>
    <t>Comb Chamber Temperature</t>
  </si>
  <si>
    <t>Feedrate MTEC Calculations</t>
  </si>
  <si>
    <t>7% O2</t>
  </si>
  <si>
    <t>Phase II ID No.</t>
  </si>
  <si>
    <t>PM, metals, CO, HCl/Cl2; feed analysis for metals, ash, chlorides</t>
  </si>
  <si>
    <t xml:space="preserve">     Cond Description</t>
  </si>
  <si>
    <t>Source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</si>
  <si>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</si>
  <si>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</si>
  <si>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</si>
  <si>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</si>
  <si>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</si>
  <si>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</si>
  <si>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</si>
  <si>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Mercury</t>
  </si>
  <si>
    <t>Lead</t>
  </si>
  <si>
    <t>Cadmium</t>
  </si>
  <si>
    <t>Arsenic</t>
  </si>
  <si>
    <t>Beryllium</t>
  </si>
  <si>
    <t>Antimony</t>
  </si>
  <si>
    <t>Comments</t>
  </si>
  <si>
    <t xml:space="preserve">(PM, HCl/Cl2) </t>
  </si>
  <si>
    <t>(Metals)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</si>
  <si>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</si>
  <si>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</si>
  <si>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</si>
  <si>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</si>
  <si>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</si>
  <si>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</si>
  <si>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</si>
  <si>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1012C1</t>
  </si>
  <si>
    <t>*</t>
  </si>
  <si>
    <t>Thermal Feedrate</t>
  </si>
  <si>
    <t>Feed Rate</t>
  </si>
  <si>
    <t>Feedstream Description</t>
  </si>
  <si>
    <t xml:space="preserve">   Sampling Volume</t>
  </si>
  <si>
    <t>dscf</t>
  </si>
  <si>
    <t>HWC Burn Status (Date if Terminated)</t>
  </si>
  <si>
    <t>1012C2</t>
  </si>
  <si>
    <t>PM level is high outlier!</t>
  </si>
  <si>
    <t>Barium</t>
  </si>
  <si>
    <t>Silver</t>
  </si>
  <si>
    <t>Thallium</t>
  </si>
  <si>
    <t xml:space="preserve">     Cond Dates</t>
  </si>
  <si>
    <t>Cond Description</t>
  </si>
  <si>
    <t>Coal-fired boiler</t>
  </si>
  <si>
    <t>R1</t>
  </si>
  <si>
    <t>R2</t>
  </si>
  <si>
    <t>R3</t>
  </si>
  <si>
    <t>Feedstream Number</t>
  </si>
  <si>
    <t>Feed Class</t>
  </si>
  <si>
    <t>Sludge</t>
  </si>
  <si>
    <t>E1</t>
  </si>
  <si>
    <t>E2</t>
  </si>
  <si>
    <t>Number of Sister Facilities</t>
  </si>
  <si>
    <t>Combustor Class</t>
  </si>
  <si>
    <t>Combustor Type</t>
  </si>
  <si>
    <t>Stoker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</si>
  <si>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</si>
  <si>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</si>
  <si>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</si>
  <si>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</si>
  <si>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</si>
  <si>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</si>
  <si>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</si>
  <si>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F1</t>
  </si>
  <si>
    <t>F2</t>
  </si>
  <si>
    <t>F3</t>
  </si>
  <si>
    <t>F4</t>
  </si>
  <si>
    <t>MMBtu/hr</t>
  </si>
  <si>
    <t>Feed Class 2</t>
  </si>
  <si>
    <t>Yes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</si>
</sst>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  <numFmt numFmtId="173" formatCode="0.000000000"/>
    <numFmt numFmtId="174" formatCode="0.0000000000"/>
    <numFmt numFmtId="175" formatCode="0.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7" fontId="5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F23" sqref="F23"/>
    </sheetView>
  </sheetViews>
  <sheetFormatPr defaultColWidth="9.140625" defaultRowHeight="12.75"/>
  <sheetData>
    <row r="1" ht="12.75">
      <c r="A1" t="s">
        <v>140</v>
      </c>
    </row>
    <row r="2" ht="12.75">
      <c r="A2" t="s">
        <v>141</v>
      </c>
    </row>
    <row r="3" ht="12.75">
      <c r="A3" t="s">
        <v>142</v>
      </c>
    </row>
    <row r="4" ht="12.75">
      <c r="A4" t="s">
        <v>143</v>
      </c>
    </row>
    <row r="5" ht="12.75">
      <c r="A5" t="s">
        <v>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8" sqref="C8"/>
    </sheetView>
  </sheetViews>
  <sheetFormatPr defaultColWidth="9.140625" defaultRowHeight="12.75"/>
  <cols>
    <col min="1" max="1" width="9.140625" style="2" hidden="1" customWidth="1"/>
    <col min="2" max="2" width="22.7109375" style="2" customWidth="1"/>
    <col min="3" max="3" width="55.7109375" style="2" customWidth="1"/>
    <col min="4" max="4" width="9.00390625" style="2" customWidth="1"/>
    <col min="5" max="16384" width="11.421875" style="2" customWidth="1"/>
  </cols>
  <sheetData>
    <row r="1" ht="12.75">
      <c r="B1" s="1" t="s">
        <v>86</v>
      </c>
    </row>
    <row r="3" spans="2:3" ht="12.75">
      <c r="B3" s="2" t="s">
        <v>83</v>
      </c>
      <c r="C3" s="17">
        <v>1012</v>
      </c>
    </row>
    <row r="4" spans="2:3" ht="12.75">
      <c r="B4" s="2" t="s">
        <v>18</v>
      </c>
      <c r="C4" s="2" t="s">
        <v>46</v>
      </c>
    </row>
    <row r="5" spans="2:3" ht="12.75">
      <c r="B5" s="2" t="s">
        <v>19</v>
      </c>
      <c r="C5" s="2" t="s">
        <v>47</v>
      </c>
    </row>
    <row r="6" ht="12.75">
      <c r="B6" s="2" t="s">
        <v>20</v>
      </c>
    </row>
    <row r="7" spans="2:3" ht="12.75">
      <c r="B7" s="2" t="s">
        <v>88</v>
      </c>
      <c r="C7" s="2" t="s">
        <v>48</v>
      </c>
    </row>
    <row r="8" spans="2:3" ht="12.75">
      <c r="B8" s="2" t="s">
        <v>89</v>
      </c>
      <c r="C8" s="2" t="s">
        <v>49</v>
      </c>
    </row>
    <row r="9" spans="2:3" ht="12.75">
      <c r="B9" s="2" t="s">
        <v>21</v>
      </c>
      <c r="C9" s="2" t="s">
        <v>70</v>
      </c>
    </row>
    <row r="10" spans="2:3" ht="12.75">
      <c r="B10" s="2" t="s">
        <v>22</v>
      </c>
      <c r="C10" s="2" t="s">
        <v>71</v>
      </c>
    </row>
    <row r="11" spans="2:3" ht="12.75">
      <c r="B11" s="2" t="s">
        <v>134</v>
      </c>
      <c r="C11" s="17">
        <v>1</v>
      </c>
    </row>
    <row r="12" spans="2:3" ht="12.75">
      <c r="B12" s="2" t="s">
        <v>135</v>
      </c>
      <c r="C12" s="2" t="s">
        <v>125</v>
      </c>
    </row>
    <row r="13" spans="2:3" ht="12.75">
      <c r="B13" s="2" t="s">
        <v>136</v>
      </c>
      <c r="C13" s="2" t="s">
        <v>137</v>
      </c>
    </row>
    <row r="14" spans="2:3" s="18" customFormat="1" ht="25.5">
      <c r="B14" s="18" t="s">
        <v>23</v>
      </c>
      <c r="C14" s="18" t="s">
        <v>59</v>
      </c>
    </row>
    <row r="15" spans="2:3" s="18" customFormat="1" ht="12.75">
      <c r="B15" s="18" t="s">
        <v>73</v>
      </c>
      <c r="C15" s="23">
        <v>216</v>
      </c>
    </row>
    <row r="16" spans="2:3" s="18" customFormat="1" ht="12.75">
      <c r="B16" s="18" t="s">
        <v>87</v>
      </c>
      <c r="C16" s="23" t="s">
        <v>151</v>
      </c>
    </row>
    <row r="17" spans="2:3" s="18" customFormat="1" ht="12.75">
      <c r="B17" s="2" t="s">
        <v>138</v>
      </c>
      <c r="C17" s="18" t="s">
        <v>58</v>
      </c>
    </row>
    <row r="18" spans="2:3" s="18" customFormat="1" ht="12.75">
      <c r="B18" s="2" t="s">
        <v>139</v>
      </c>
      <c r="C18" s="18" t="s">
        <v>58</v>
      </c>
    </row>
    <row r="19" spans="2:3" s="18" customFormat="1" ht="25.5">
      <c r="B19" s="18" t="s">
        <v>24</v>
      </c>
      <c r="C19" s="18" t="s">
        <v>54</v>
      </c>
    </row>
    <row r="20" spans="2:3" s="18" customFormat="1" ht="12.75">
      <c r="B20" s="18" t="s">
        <v>61</v>
      </c>
      <c r="C20" s="18" t="s">
        <v>68</v>
      </c>
    </row>
    <row r="21" spans="2:3" s="18" customFormat="1" ht="12.75">
      <c r="B21" s="18" t="s">
        <v>62</v>
      </c>
      <c r="C21" s="18" t="s">
        <v>68</v>
      </c>
    </row>
    <row r="22" spans="2:3" s="18" customFormat="1" ht="12.75">
      <c r="B22" s="18" t="s">
        <v>60</v>
      </c>
      <c r="C22" s="18" t="s">
        <v>67</v>
      </c>
    </row>
    <row r="23" s="18" customFormat="1" ht="12.75" customHeight="1"/>
    <row r="24" spans="2:3" s="18" customFormat="1" ht="25.5">
      <c r="B24" s="18" t="s">
        <v>25</v>
      </c>
      <c r="C24" s="18" t="s">
        <v>50</v>
      </c>
    </row>
    <row r="25" spans="2:3" ht="12.75">
      <c r="B25" s="2" t="s">
        <v>90</v>
      </c>
      <c r="C25" s="19"/>
    </row>
    <row r="26" spans="2:3" ht="12.75">
      <c r="B26" s="2" t="s">
        <v>91</v>
      </c>
      <c r="C26" s="17">
        <v>225</v>
      </c>
    </row>
    <row r="27" ht="12.75">
      <c r="B27" s="2" t="s">
        <v>92</v>
      </c>
    </row>
    <row r="28" ht="12.75">
      <c r="B28" s="2" t="s">
        <v>93</v>
      </c>
    </row>
    <row r="29" ht="12.75" customHeight="1"/>
    <row r="30" spans="2:3" ht="12.75">
      <c r="B30" s="2" t="s">
        <v>26</v>
      </c>
      <c r="C30" s="2" t="s">
        <v>72</v>
      </c>
    </row>
    <row r="31" s="35" customFormat="1" ht="25.5">
      <c r="B31" s="35" t="s">
        <v>117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C8" sqref="C8"/>
    </sheetView>
  </sheetViews>
  <sheetFormatPr defaultColWidth="9.140625" defaultRowHeight="12.75"/>
  <cols>
    <col min="1" max="1" width="0.2890625" style="0" hidden="1" customWidth="1"/>
    <col min="2" max="2" width="25.28125" style="0" customWidth="1"/>
    <col min="3" max="3" width="54.8515625" style="0" customWidth="1"/>
  </cols>
  <sheetData>
    <row r="1" ht="12.75">
      <c r="B1" s="32" t="s">
        <v>124</v>
      </c>
    </row>
    <row r="3" ht="12.75">
      <c r="B3" s="32" t="s">
        <v>110</v>
      </c>
    </row>
    <row r="5" spans="2:3" s="18" customFormat="1" ht="25.5">
      <c r="B5" s="18" t="s">
        <v>27</v>
      </c>
      <c r="C5" s="18" t="s">
        <v>55</v>
      </c>
    </row>
    <row r="6" spans="2:3" s="2" customFormat="1" ht="12.75">
      <c r="B6" s="2" t="s">
        <v>30</v>
      </c>
      <c r="C6" s="2" t="s">
        <v>44</v>
      </c>
    </row>
    <row r="7" spans="2:3" s="2" customFormat="1" ht="12.75">
      <c r="B7" s="2" t="s">
        <v>31</v>
      </c>
      <c r="C7" s="2" t="s">
        <v>44</v>
      </c>
    </row>
    <row r="8" spans="2:3" s="2" customFormat="1" ht="12.75">
      <c r="B8" s="2" t="s">
        <v>28</v>
      </c>
      <c r="C8" s="20" t="s">
        <v>63</v>
      </c>
    </row>
    <row r="9" spans="2:3" s="2" customFormat="1" ht="12.75">
      <c r="B9" s="2" t="s">
        <v>123</v>
      </c>
      <c r="C9" s="31">
        <v>34120</v>
      </c>
    </row>
    <row r="10" spans="2:3" s="2" customFormat="1" ht="12.75">
      <c r="B10" s="2" t="s">
        <v>85</v>
      </c>
      <c r="C10" s="2" t="s">
        <v>56</v>
      </c>
    </row>
    <row r="11" spans="2:3" s="2" customFormat="1" ht="12.75">
      <c r="B11" s="2" t="s">
        <v>29</v>
      </c>
      <c r="C11" s="2" t="s">
        <v>84</v>
      </c>
    </row>
    <row r="12" s="2" customFormat="1" ht="12.75"/>
    <row r="13" s="2" customFormat="1" ht="12.75">
      <c r="B13" s="1" t="s">
        <v>118</v>
      </c>
    </row>
    <row r="14" s="2" customFormat="1" ht="12.75">
      <c r="B14" s="1"/>
    </row>
    <row r="15" spans="2:3" s="18" customFormat="1" ht="25.5">
      <c r="B15" s="18" t="s">
        <v>27</v>
      </c>
      <c r="C15" s="18" t="s">
        <v>55</v>
      </c>
    </row>
    <row r="16" spans="2:3" s="2" customFormat="1" ht="12.75">
      <c r="B16" s="2" t="s">
        <v>30</v>
      </c>
      <c r="C16" s="2" t="s">
        <v>44</v>
      </c>
    </row>
    <row r="17" spans="2:3" s="2" customFormat="1" ht="12.75">
      <c r="B17" s="2" t="s">
        <v>31</v>
      </c>
      <c r="C17" s="2" t="s">
        <v>44</v>
      </c>
    </row>
    <row r="18" spans="2:3" s="2" customFormat="1" ht="12.75">
      <c r="B18" s="2" t="s">
        <v>28</v>
      </c>
      <c r="C18" s="20" t="s">
        <v>63</v>
      </c>
    </row>
    <row r="19" spans="2:3" s="2" customFormat="1" ht="12.75">
      <c r="B19" s="2" t="s">
        <v>123</v>
      </c>
      <c r="C19" s="31">
        <v>34120</v>
      </c>
    </row>
    <row r="20" spans="2:3" s="2" customFormat="1" ht="12.75">
      <c r="B20" s="2" t="s">
        <v>85</v>
      </c>
      <c r="C20" s="2" t="s">
        <v>57</v>
      </c>
    </row>
    <row r="21" spans="2:3" s="2" customFormat="1" ht="12.75">
      <c r="B21" s="2" t="s">
        <v>29</v>
      </c>
      <c r="C21" s="2" t="s">
        <v>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B5">
      <selection activeCell="C8" sqref="C8"/>
    </sheetView>
  </sheetViews>
  <sheetFormatPr defaultColWidth="9.140625" defaultRowHeight="12.75"/>
  <cols>
    <col min="1" max="1" width="8.00390625" style="2" hidden="1" customWidth="1"/>
    <col min="2" max="2" width="19.00390625" style="2" customWidth="1"/>
    <col min="3" max="3" width="11.8515625" style="2" customWidth="1"/>
    <col min="4" max="4" width="8.140625" style="2" customWidth="1"/>
    <col min="5" max="5" width="4.8515625" style="2" customWidth="1"/>
    <col min="6" max="6" width="3.28125" style="2" customWidth="1"/>
    <col min="7" max="7" width="8.28125" style="2" customWidth="1"/>
    <col min="8" max="8" width="3.57421875" style="2" customWidth="1"/>
    <col min="9" max="9" width="8.57421875" style="2" customWidth="1"/>
    <col min="10" max="10" width="2.7109375" style="2" customWidth="1"/>
    <col min="11" max="11" width="9.00390625" style="2" customWidth="1"/>
    <col min="12" max="12" width="3.8515625" style="2" customWidth="1"/>
    <col min="13" max="13" width="8.8515625" style="2" customWidth="1"/>
    <col min="14" max="14" width="2.7109375" style="2" customWidth="1"/>
    <col min="15" max="15" width="8.00390625" style="2" customWidth="1"/>
    <col min="16" max="16" width="2.8515625" style="2" customWidth="1"/>
    <col min="17" max="17" width="9.140625" style="2" customWidth="1"/>
    <col min="18" max="18" width="2.7109375" style="2" customWidth="1"/>
    <col min="19" max="19" width="7.8515625" style="2" customWidth="1"/>
    <col min="20" max="20" width="8.00390625" style="2" customWidth="1"/>
    <col min="21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9" ht="12.75">
      <c r="C3" s="2" t="s">
        <v>100</v>
      </c>
      <c r="D3" s="2" t="s">
        <v>32</v>
      </c>
      <c r="E3" s="2" t="s">
        <v>82</v>
      </c>
      <c r="N3" s="3"/>
      <c r="O3" s="3"/>
      <c r="P3" s="3"/>
      <c r="Q3" s="3"/>
      <c r="R3" s="3"/>
      <c r="S3" s="3"/>
    </row>
    <row r="4" spans="7:19" ht="12.75">
      <c r="G4" s="3"/>
      <c r="H4" s="3"/>
      <c r="I4" s="3"/>
      <c r="J4" s="3"/>
      <c r="K4" s="3"/>
      <c r="L4" s="3"/>
      <c r="O4" s="3"/>
      <c r="P4" s="3"/>
      <c r="Q4" s="3"/>
      <c r="R4" s="3"/>
      <c r="S4" s="3"/>
    </row>
    <row r="5" spans="7:19" ht="12.75">
      <c r="G5" s="3"/>
      <c r="H5" s="3"/>
      <c r="I5" s="3"/>
      <c r="J5" s="3"/>
      <c r="K5" s="3" t="s">
        <v>51</v>
      </c>
      <c r="L5" s="3"/>
      <c r="O5" s="3"/>
      <c r="P5" s="3"/>
      <c r="Q5" s="3"/>
      <c r="R5" s="3"/>
      <c r="S5" s="3"/>
    </row>
    <row r="6" spans="1:19" ht="12.75">
      <c r="A6" s="2">
        <v>1</v>
      </c>
      <c r="B6" s="1" t="s">
        <v>110</v>
      </c>
      <c r="C6" s="1"/>
      <c r="G6" s="3" t="s">
        <v>126</v>
      </c>
      <c r="H6" s="3"/>
      <c r="I6" s="3" t="s">
        <v>127</v>
      </c>
      <c r="J6" s="3"/>
      <c r="K6" s="3" t="s">
        <v>128</v>
      </c>
      <c r="L6" s="12"/>
      <c r="M6" s="3" t="s">
        <v>33</v>
      </c>
      <c r="O6" s="3"/>
      <c r="P6" s="3"/>
      <c r="Q6" s="3"/>
      <c r="R6" s="3"/>
      <c r="S6" s="3"/>
    </row>
    <row r="7" spans="2:12" ht="12.75">
      <c r="B7" s="1"/>
      <c r="C7" s="1"/>
      <c r="G7" s="3"/>
      <c r="H7" s="3"/>
      <c r="I7" s="3"/>
      <c r="J7" s="3"/>
      <c r="K7" s="3"/>
      <c r="L7" s="3"/>
    </row>
    <row r="8" spans="2:4" ht="12" customHeight="1">
      <c r="B8" s="2" t="s">
        <v>109</v>
      </c>
      <c r="C8" s="2" t="s">
        <v>101</v>
      </c>
      <c r="D8" s="2" t="s">
        <v>132</v>
      </c>
    </row>
    <row r="9" spans="2:13" ht="12.75">
      <c r="B9" s="2" t="s">
        <v>34</v>
      </c>
      <c r="D9" s="2" t="s">
        <v>15</v>
      </c>
      <c r="G9" s="2">
        <v>49954</v>
      </c>
      <c r="I9" s="2">
        <v>51793</v>
      </c>
      <c r="K9" s="2">
        <v>53008</v>
      </c>
      <c r="M9" s="10">
        <f>AVERAGE(K9,I9,G9)</f>
        <v>51585</v>
      </c>
    </row>
    <row r="10" spans="2:13" ht="12.75">
      <c r="B10" s="2" t="s">
        <v>103</v>
      </c>
      <c r="D10" s="2" t="s">
        <v>16</v>
      </c>
      <c r="G10" s="2">
        <v>6.2</v>
      </c>
      <c r="I10" s="2">
        <v>5.8</v>
      </c>
      <c r="K10" s="2">
        <v>5.3</v>
      </c>
      <c r="M10" s="6">
        <f>AVERAGE(K10,I10,G10)</f>
        <v>5.766666666666667</v>
      </c>
    </row>
    <row r="11" spans="2:13" ht="12.75">
      <c r="B11" s="2" t="s">
        <v>104</v>
      </c>
      <c r="D11" s="2" t="s">
        <v>16</v>
      </c>
      <c r="G11" s="2">
        <v>22.41</v>
      </c>
      <c r="I11" s="2">
        <v>15.64</v>
      </c>
      <c r="K11" s="2">
        <v>17.42</v>
      </c>
      <c r="M11" s="6">
        <f>AVERAGE(K11,I11,G11)</f>
        <v>18.49</v>
      </c>
    </row>
    <row r="12" spans="2:13" ht="12.75">
      <c r="B12" s="2" t="s">
        <v>35</v>
      </c>
      <c r="D12" s="2" t="s">
        <v>17</v>
      </c>
      <c r="G12" s="2">
        <v>325</v>
      </c>
      <c r="I12" s="2">
        <v>322</v>
      </c>
      <c r="K12" s="2">
        <v>317</v>
      </c>
      <c r="M12" s="6">
        <f>AVERAGE(K12,I12,G12)</f>
        <v>321.3333333333333</v>
      </c>
    </row>
    <row r="13" ht="12" customHeight="1"/>
    <row r="14" spans="2:13" ht="12.75">
      <c r="B14" s="2" t="s">
        <v>3</v>
      </c>
      <c r="D14" s="2" t="s">
        <v>11</v>
      </c>
      <c r="E14" s="2" t="s">
        <v>43</v>
      </c>
      <c r="G14" s="2">
        <v>56.1</v>
      </c>
      <c r="I14" s="2">
        <v>56.7</v>
      </c>
      <c r="K14" s="2">
        <v>36.3</v>
      </c>
      <c r="M14" s="6">
        <f>AVERAGE(K14,I14,G14)</f>
        <v>49.699999999999996</v>
      </c>
    </row>
    <row r="15" spans="2:13" ht="12.75">
      <c r="B15" s="2" t="s">
        <v>4</v>
      </c>
      <c r="D15" s="2" t="s">
        <v>11</v>
      </c>
      <c r="E15" s="2" t="s">
        <v>43</v>
      </c>
      <c r="G15" s="2">
        <v>1.47</v>
      </c>
      <c r="I15" s="2">
        <v>1.5</v>
      </c>
      <c r="K15" s="2">
        <v>1.75</v>
      </c>
      <c r="M15" s="9">
        <f>AVERAGE(K15,I15,G15)</f>
        <v>1.5733333333333333</v>
      </c>
    </row>
    <row r="17" spans="2:15" ht="12.75">
      <c r="B17" s="2" t="s">
        <v>2</v>
      </c>
      <c r="C17" s="2" t="s">
        <v>132</v>
      </c>
      <c r="D17" s="2" t="s">
        <v>10</v>
      </c>
      <c r="E17" s="2" t="s">
        <v>36</v>
      </c>
      <c r="G17" s="13">
        <v>0.0248</v>
      </c>
      <c r="I17" s="2">
        <v>0.1324</v>
      </c>
      <c r="K17" s="13">
        <v>0.0098</v>
      </c>
      <c r="M17" s="13">
        <f>AVERAGE(G17,K17)</f>
        <v>0.0173</v>
      </c>
      <c r="O17" s="2" t="s">
        <v>119</v>
      </c>
    </row>
    <row r="18" spans="2:13" ht="12.75">
      <c r="B18" s="2" t="s">
        <v>106</v>
      </c>
      <c r="C18" s="2" t="s">
        <v>132</v>
      </c>
      <c r="D18" s="2" t="s">
        <v>11</v>
      </c>
      <c r="E18" s="2" t="s">
        <v>36</v>
      </c>
      <c r="G18" s="2">
        <v>65.73</v>
      </c>
      <c r="I18" s="2">
        <v>43.26</v>
      </c>
      <c r="K18" s="2">
        <v>60.33</v>
      </c>
      <c r="M18" s="6">
        <f>AVERAGE(K18,I18,G18)</f>
        <v>56.44</v>
      </c>
    </row>
    <row r="19" spans="2:13" ht="12.75">
      <c r="B19" s="2" t="s">
        <v>107</v>
      </c>
      <c r="C19" s="2" t="s">
        <v>132</v>
      </c>
      <c r="D19" s="2" t="s">
        <v>11</v>
      </c>
      <c r="E19" s="2" t="s">
        <v>36</v>
      </c>
      <c r="G19" s="2">
        <v>66.98</v>
      </c>
      <c r="I19" s="2">
        <v>43.99</v>
      </c>
      <c r="K19" s="2">
        <v>60.14</v>
      </c>
      <c r="M19" s="6">
        <f>AVERAGE(K19,I19,G19)</f>
        <v>57.03666666666667</v>
      </c>
    </row>
    <row r="20" spans="2:13" ht="12.75">
      <c r="B20" s="2" t="s">
        <v>3</v>
      </c>
      <c r="C20" s="2" t="s">
        <v>132</v>
      </c>
      <c r="D20" s="2" t="s">
        <v>11</v>
      </c>
      <c r="E20" s="2" t="s">
        <v>36</v>
      </c>
      <c r="G20" s="9">
        <f>G14*14/(21-G$10)</f>
        <v>53.067567567567565</v>
      </c>
      <c r="H20" s="9"/>
      <c r="I20" s="9">
        <f>I14*14/(21-I10)</f>
        <v>52.22368421052632</v>
      </c>
      <c r="J20" s="9"/>
      <c r="K20" s="9">
        <f>K14*14/(21-K10)</f>
        <v>32.36942675159236</v>
      </c>
      <c r="L20" s="9"/>
      <c r="M20" s="6">
        <f>AVERAGE(K20,I20,G20)</f>
        <v>45.88689284322876</v>
      </c>
    </row>
    <row r="21" spans="2:13" ht="12.75">
      <c r="B21" s="2" t="s">
        <v>4</v>
      </c>
      <c r="C21" s="2" t="s">
        <v>132</v>
      </c>
      <c r="D21" s="2" t="s">
        <v>11</v>
      </c>
      <c r="E21" s="2" t="s">
        <v>36</v>
      </c>
      <c r="G21" s="9">
        <f>G15*14/(21-G$10)</f>
        <v>1.3905405405405404</v>
      </c>
      <c r="H21" s="9"/>
      <c r="I21" s="9">
        <f>I15*14/(21-I$10)</f>
        <v>1.381578947368421</v>
      </c>
      <c r="J21" s="9"/>
      <c r="K21" s="9">
        <f>K15*14/(21-K$10)</f>
        <v>1.5605095541401275</v>
      </c>
      <c r="L21" s="14"/>
      <c r="M21" s="6">
        <f>AVERAGE(K21,I21,G21)</f>
        <v>1.4442096806830296</v>
      </c>
    </row>
    <row r="22" spans="2:13" ht="12.75">
      <c r="B22" s="2" t="s">
        <v>105</v>
      </c>
      <c r="C22" s="2" t="s">
        <v>132</v>
      </c>
      <c r="D22" s="2" t="s">
        <v>11</v>
      </c>
      <c r="E22" s="2" t="s">
        <v>36</v>
      </c>
      <c r="G22" s="9">
        <f>G20+2*G21</f>
        <v>55.84864864864865</v>
      </c>
      <c r="H22" s="9"/>
      <c r="I22" s="9">
        <f>I20+2*I21</f>
        <v>54.986842105263165</v>
      </c>
      <c r="J22" s="9"/>
      <c r="K22" s="9">
        <f>K20+2*K21</f>
        <v>35.490445859872615</v>
      </c>
      <c r="L22" s="9"/>
      <c r="M22" s="6">
        <f>M20+2*M21</f>
        <v>48.77531220459482</v>
      </c>
    </row>
    <row r="23" spans="7:13" ht="12.75">
      <c r="G23" s="9"/>
      <c r="H23" s="9"/>
      <c r="I23" s="9"/>
      <c r="J23" s="9"/>
      <c r="K23" s="9"/>
      <c r="L23" s="9"/>
      <c r="M23" s="9"/>
    </row>
    <row r="24" spans="2:13" ht="12.75">
      <c r="B24" s="2" t="s">
        <v>109</v>
      </c>
      <c r="C24" s="2" t="s">
        <v>102</v>
      </c>
      <c r="D24" s="2" t="s">
        <v>133</v>
      </c>
      <c r="M24" s="14"/>
    </row>
    <row r="25" spans="2:13" ht="12.75">
      <c r="B25" s="2" t="s">
        <v>34</v>
      </c>
      <c r="D25" s="2" t="s">
        <v>15</v>
      </c>
      <c r="G25" s="10">
        <v>50873</v>
      </c>
      <c r="H25" s="10"/>
      <c r="I25" s="10">
        <v>51363</v>
      </c>
      <c r="J25" s="10"/>
      <c r="K25" s="10">
        <v>52155</v>
      </c>
      <c r="M25" s="10">
        <f>AVERAGE(K25,I25,G25)</f>
        <v>51463.666666666664</v>
      </c>
    </row>
    <row r="26" spans="2:13" ht="12.75">
      <c r="B26" s="2" t="s">
        <v>103</v>
      </c>
      <c r="D26" s="2" t="s">
        <v>16</v>
      </c>
      <c r="G26" s="2">
        <v>6.2</v>
      </c>
      <c r="I26" s="2">
        <v>5.8</v>
      </c>
      <c r="K26" s="2">
        <v>5.3</v>
      </c>
      <c r="M26" s="6">
        <f>AVERAGE(K26,I26,G26)</f>
        <v>5.766666666666667</v>
      </c>
    </row>
    <row r="27" spans="2:13" ht="12.75">
      <c r="B27" s="2" t="s">
        <v>104</v>
      </c>
      <c r="D27" s="2" t="s">
        <v>16</v>
      </c>
      <c r="G27" s="2">
        <v>15.47</v>
      </c>
      <c r="I27" s="2">
        <v>16.32</v>
      </c>
      <c r="K27" s="2">
        <v>17.19</v>
      </c>
      <c r="M27" s="9">
        <f>AVERAGE(K27,I27,G27)</f>
        <v>16.326666666666668</v>
      </c>
    </row>
    <row r="28" spans="2:13" ht="12.75">
      <c r="B28" s="2" t="s">
        <v>35</v>
      </c>
      <c r="D28" s="2" t="s">
        <v>17</v>
      </c>
      <c r="G28" s="2">
        <v>331</v>
      </c>
      <c r="I28" s="2">
        <v>328</v>
      </c>
      <c r="K28" s="2">
        <v>326</v>
      </c>
      <c r="M28" s="10">
        <f>AVERAGE(K28,I28,G28)</f>
        <v>328.3333333333333</v>
      </c>
    </row>
    <row r="29" spans="2:13" ht="12.75">
      <c r="B29" s="2" t="s">
        <v>115</v>
      </c>
      <c r="D29" s="2" t="s">
        <v>116</v>
      </c>
      <c r="G29" s="2">
        <v>37.15</v>
      </c>
      <c r="I29" s="2">
        <v>35.74</v>
      </c>
      <c r="K29" s="2">
        <v>37.32</v>
      </c>
      <c r="M29" s="10"/>
    </row>
    <row r="30" spans="6:13" ht="12.75">
      <c r="F30" s="25"/>
      <c r="G30" s="25"/>
      <c r="H30" s="25"/>
      <c r="I30" s="25"/>
      <c r="J30" s="25"/>
      <c r="K30" s="25"/>
      <c r="L30" s="25"/>
      <c r="M30" s="26"/>
    </row>
    <row r="31" spans="2:13" ht="12.75">
      <c r="B31" s="2" t="s">
        <v>94</v>
      </c>
      <c r="D31" s="2" t="s">
        <v>12</v>
      </c>
      <c r="E31" s="2" t="s">
        <v>43</v>
      </c>
      <c r="F31" s="25"/>
      <c r="G31" s="27">
        <f>SUM(0.48,7.94,1.35,0.505,0.033)/G$29*35.3145</f>
        <v>9.798704333781966</v>
      </c>
      <c r="H31" s="28"/>
      <c r="I31" s="27">
        <f>9.511/I$29*35.3145</f>
        <v>9.397767473419139</v>
      </c>
      <c r="J31" s="28"/>
      <c r="K31" s="27">
        <f>15.287/K$29*35.3145</f>
        <v>14.465508078778136</v>
      </c>
      <c r="L31" s="25"/>
      <c r="M31" s="28"/>
    </row>
    <row r="32" spans="2:13" ht="12.75">
      <c r="B32" s="2" t="s">
        <v>95</v>
      </c>
      <c r="D32" s="2" t="s">
        <v>12</v>
      </c>
      <c r="E32" s="2" t="s">
        <v>43</v>
      </c>
      <c r="F32" s="25"/>
      <c r="G32" s="27">
        <f>66.78/G$29*35.3145</f>
        <v>63.48054670255721</v>
      </c>
      <c r="H32" s="28"/>
      <c r="I32" s="27">
        <f>61.17/I$29*35.3145</f>
        <v>60.44174496362619</v>
      </c>
      <c r="J32" s="28"/>
      <c r="K32" s="27">
        <f>90/K$29*35.3145</f>
        <v>85.16358520900322</v>
      </c>
      <c r="L32" s="25"/>
      <c r="M32" s="28"/>
    </row>
    <row r="33" spans="2:13" ht="12.75">
      <c r="B33" s="2" t="s">
        <v>96</v>
      </c>
      <c r="D33" s="2" t="s">
        <v>12</v>
      </c>
      <c r="E33" s="2" t="s">
        <v>43</v>
      </c>
      <c r="F33" s="25"/>
      <c r="G33" s="27">
        <f>5.09/G$29*35.3145</f>
        <v>4.838514266487214</v>
      </c>
      <c r="H33" s="28"/>
      <c r="I33" s="28">
        <f>3.62</f>
        <v>3.62</v>
      </c>
      <c r="J33" s="28"/>
      <c r="K33" s="27">
        <f>9.19/K$29*35.3145</f>
        <v>8.696148311897106</v>
      </c>
      <c r="L33" s="25"/>
      <c r="M33" s="28"/>
    </row>
    <row r="34" spans="2:13" ht="12.75">
      <c r="B34" s="2" t="s">
        <v>97</v>
      </c>
      <c r="D34" s="2" t="s">
        <v>12</v>
      </c>
      <c r="E34" s="2" t="s">
        <v>43</v>
      </c>
      <c r="F34" s="25" t="s">
        <v>64</v>
      </c>
      <c r="G34" s="28">
        <f>26.6</f>
        <v>26.6</v>
      </c>
      <c r="H34" s="28" t="s">
        <v>64</v>
      </c>
      <c r="I34" s="28">
        <f>26.2</f>
        <v>26.2</v>
      </c>
      <c r="J34" s="28"/>
      <c r="K34" s="27">
        <f>22.15/K$29*35.3145</f>
        <v>20.95970458199357</v>
      </c>
      <c r="L34" s="25"/>
      <c r="M34" s="28"/>
    </row>
    <row r="35" spans="2:13" ht="12.75">
      <c r="B35" s="2" t="s">
        <v>98</v>
      </c>
      <c r="D35" s="2" t="s">
        <v>12</v>
      </c>
      <c r="E35" s="2" t="s">
        <v>43</v>
      </c>
      <c r="F35" s="25"/>
      <c r="G35" s="27">
        <f>0.76/G$29*35.3145</f>
        <v>0.7224500672947511</v>
      </c>
      <c r="H35" s="28"/>
      <c r="I35" s="27">
        <f>1.42/I$29*35.3145</f>
        <v>1.403094292109681</v>
      </c>
      <c r="J35" s="28"/>
      <c r="K35" s="27">
        <f>1.25/K$29*35.3145</f>
        <v>1.182827572347267</v>
      </c>
      <c r="L35" s="25"/>
      <c r="M35" s="28"/>
    </row>
    <row r="36" spans="2:13" ht="12.75">
      <c r="B36" s="2" t="s">
        <v>108</v>
      </c>
      <c r="D36" s="2" t="s">
        <v>12</v>
      </c>
      <c r="E36" s="2" t="s">
        <v>43</v>
      </c>
      <c r="F36" s="25"/>
      <c r="G36" s="28">
        <v>28.6</v>
      </c>
      <c r="H36" s="28"/>
      <c r="I36" s="28">
        <v>54.6</v>
      </c>
      <c r="J36" s="28"/>
      <c r="K36" s="27">
        <f>40.55/K$29*35.3145</f>
        <v>38.37092644694533</v>
      </c>
      <c r="L36" s="29"/>
      <c r="M36" s="28"/>
    </row>
    <row r="37" spans="2:13" ht="12.75">
      <c r="B37" s="2" t="s">
        <v>99</v>
      </c>
      <c r="D37" s="2" t="s">
        <v>12</v>
      </c>
      <c r="E37" s="2" t="s">
        <v>43</v>
      </c>
      <c r="F37" s="25"/>
      <c r="G37" s="27">
        <f>127.25/G$29*35.3145</f>
        <v>120.96285666218036</v>
      </c>
      <c r="H37" s="28"/>
      <c r="I37" s="28">
        <v>88</v>
      </c>
      <c r="J37" s="28"/>
      <c r="K37" s="27">
        <f>119.45/K$29*35.3145</f>
        <v>113.03100281350484</v>
      </c>
      <c r="L37" s="30"/>
      <c r="M37" s="28"/>
    </row>
    <row r="38" spans="6:13" ht="12.75">
      <c r="F38" s="25"/>
      <c r="G38" s="25"/>
      <c r="H38" s="29"/>
      <c r="I38" s="25"/>
      <c r="J38" s="25"/>
      <c r="K38" s="25"/>
      <c r="L38" s="26"/>
      <c r="M38" s="29"/>
    </row>
    <row r="39" spans="2:13" ht="12.75">
      <c r="B39" s="2" t="s">
        <v>94</v>
      </c>
      <c r="C39" s="2" t="s">
        <v>133</v>
      </c>
      <c r="D39" s="2" t="s">
        <v>12</v>
      </c>
      <c r="E39" s="2" t="s">
        <v>36</v>
      </c>
      <c r="F39" s="25"/>
      <c r="G39" s="27">
        <f>SUM(0.48,7.94,1.35,0.505,0.033)/G$29*35.3145*(21-7)/(21-G$26)</f>
        <v>9.26904464006402</v>
      </c>
      <c r="H39" s="28"/>
      <c r="I39" s="27">
        <f>9.511/I$29*35.3145*(21-7)/(21-I$26)</f>
        <v>8.655838462359734</v>
      </c>
      <c r="J39" s="28"/>
      <c r="K39" s="27">
        <f>15.287/K$29*35.3145*(21-7)/(21-K$26)</f>
        <v>12.899179178528275</v>
      </c>
      <c r="L39" s="25"/>
      <c r="M39" s="28">
        <f aca="true" t="shared" si="0" ref="M39:M45">AVERAGE(G39,I39,K39)</f>
        <v>10.274687426984011</v>
      </c>
    </row>
    <row r="40" spans="2:13" ht="12.75">
      <c r="B40" s="2" t="s">
        <v>95</v>
      </c>
      <c r="C40" s="2" t="s">
        <v>133</v>
      </c>
      <c r="D40" s="2" t="s">
        <v>12</v>
      </c>
      <c r="E40" s="2" t="s">
        <v>36</v>
      </c>
      <c r="F40" s="25"/>
      <c r="G40" s="27">
        <f>66.78/G$29*35.3145*(21-7)/(21-G$26)</f>
        <v>60.04916579971628</v>
      </c>
      <c r="H40" s="28"/>
      <c r="I40" s="27">
        <f>61.17/I$29*35.3145*(21-7)/(21-I$26)</f>
        <v>55.670028255971495</v>
      </c>
      <c r="J40" s="28"/>
      <c r="K40" s="27">
        <f>90/K$29*35.3145*(21-7)/(21-K$26)</f>
        <v>75.94205050484364</v>
      </c>
      <c r="L40" s="25"/>
      <c r="M40" s="28">
        <f t="shared" si="0"/>
        <v>63.88708152017714</v>
      </c>
    </row>
    <row r="41" spans="2:13" ht="12.75">
      <c r="B41" s="2" t="s">
        <v>96</v>
      </c>
      <c r="C41" s="2" t="s">
        <v>133</v>
      </c>
      <c r="D41" s="2" t="s">
        <v>12</v>
      </c>
      <c r="E41" s="2" t="s">
        <v>36</v>
      </c>
      <c r="F41" s="25"/>
      <c r="G41" s="27">
        <f>5.09/G$29*35.3145*(21-7)/(21-G$26)</f>
        <v>4.576972954785202</v>
      </c>
      <c r="H41" s="28"/>
      <c r="I41" s="28">
        <f>I33*14/(21-I$26)</f>
        <v>3.3342105263157897</v>
      </c>
      <c r="J41" s="28"/>
      <c r="K41" s="27">
        <f>9.19/K$29*35.3145*(21-7)/(21-K$26)</f>
        <v>7.7545271571057</v>
      </c>
      <c r="L41" s="25"/>
      <c r="M41" s="28">
        <f t="shared" si="0"/>
        <v>5.221903546068897</v>
      </c>
    </row>
    <row r="42" spans="2:13" ht="12.75">
      <c r="B42" s="2" t="s">
        <v>97</v>
      </c>
      <c r="C42" s="2" t="s">
        <v>133</v>
      </c>
      <c r="D42" s="2" t="s">
        <v>12</v>
      </c>
      <c r="E42" s="2" t="s">
        <v>36</v>
      </c>
      <c r="F42" s="25" t="s">
        <v>64</v>
      </c>
      <c r="G42" s="28">
        <f>G34*14/(21-G$26)</f>
        <v>25.162162162162165</v>
      </c>
      <c r="H42" s="28" t="s">
        <v>64</v>
      </c>
      <c r="I42" s="28">
        <f>I34*14/(21-I$26)</f>
        <v>24.13157894736842</v>
      </c>
      <c r="J42" s="28"/>
      <c r="K42" s="27">
        <f>22.15/K$29*35.3145*(21-7)/(21-K$26)</f>
        <v>18.690182429803183</v>
      </c>
      <c r="L42" s="25">
        <f>(G42+I42)/3/M42*100</f>
        <v>72.50793797008566</v>
      </c>
      <c r="M42" s="28">
        <f t="shared" si="0"/>
        <v>22.66130784644459</v>
      </c>
    </row>
    <row r="43" spans="2:13" ht="12.75">
      <c r="B43" s="2" t="s">
        <v>98</v>
      </c>
      <c r="C43" s="2" t="s">
        <v>133</v>
      </c>
      <c r="D43" s="2" t="s">
        <v>12</v>
      </c>
      <c r="E43" s="2" t="s">
        <v>36</v>
      </c>
      <c r="F43" s="25"/>
      <c r="G43" s="27">
        <f>0.76/G$29*35.3145*(21-7)/(21-G$26)</f>
        <v>0.6833987123058456</v>
      </c>
      <c r="H43" s="28"/>
      <c r="I43" s="27">
        <f>1.42/I$29*35.3145*(21-7)/(21-I$26)</f>
        <v>1.292323690101022</v>
      </c>
      <c r="J43" s="28"/>
      <c r="K43" s="27">
        <f>1.25/K$29*35.3145*(21-7)/(21-K$26)</f>
        <v>1.0547507014561617</v>
      </c>
      <c r="L43" s="25"/>
      <c r="M43" s="28">
        <f t="shared" si="0"/>
        <v>1.0101577012876763</v>
      </c>
    </row>
    <row r="44" spans="2:13" ht="12.75">
      <c r="B44" s="2" t="s">
        <v>108</v>
      </c>
      <c r="C44" s="2" t="s">
        <v>133</v>
      </c>
      <c r="D44" s="2" t="s">
        <v>12</v>
      </c>
      <c r="E44" s="2" t="s">
        <v>36</v>
      </c>
      <c r="F44" s="25"/>
      <c r="G44" s="28">
        <f>G36*14/(21-G$26)</f>
        <v>27.054054054054056</v>
      </c>
      <c r="H44" s="28"/>
      <c r="I44" s="28">
        <f>I36*14/(21-I$26)</f>
        <v>50.28947368421053</v>
      </c>
      <c r="J44" s="28"/>
      <c r="K44" s="27">
        <f>40.55/K$29*35.3145*(21-7)/(21-K$26)</f>
        <v>34.21611275523788</v>
      </c>
      <c r="L44" s="25"/>
      <c r="M44" s="28">
        <f t="shared" si="0"/>
        <v>37.18654683116748</v>
      </c>
    </row>
    <row r="45" spans="2:13" ht="12.75">
      <c r="B45" s="2" t="s">
        <v>99</v>
      </c>
      <c r="C45" s="2" t="s">
        <v>133</v>
      </c>
      <c r="D45" s="2" t="s">
        <v>12</v>
      </c>
      <c r="E45" s="2" t="s">
        <v>36</v>
      </c>
      <c r="F45" s="25"/>
      <c r="G45" s="27">
        <f>127.25/G$29*35.3145*(21-7)/(21-G$26)</f>
        <v>114.42432386963006</v>
      </c>
      <c r="H45" s="28"/>
      <c r="I45" s="28">
        <f>I37*14/(21-I$26)</f>
        <v>81.05263157894737</v>
      </c>
      <c r="J45" s="28"/>
      <c r="K45" s="27">
        <f>119.45/K$29*35.3145*(21-7)/(21-K$26)</f>
        <v>100.79197703115082</v>
      </c>
      <c r="L45" s="25"/>
      <c r="M45" s="28">
        <f t="shared" si="0"/>
        <v>98.7563108265761</v>
      </c>
    </row>
    <row r="46" spans="6:13" ht="12.75">
      <c r="F46" s="25"/>
      <c r="G46" s="25"/>
      <c r="H46" s="25"/>
      <c r="I46" s="25"/>
      <c r="J46" s="25"/>
      <c r="K46" s="25"/>
      <c r="L46" s="25"/>
      <c r="M46" s="25"/>
    </row>
    <row r="47" spans="2:13" ht="12.75">
      <c r="B47" s="2" t="s">
        <v>5</v>
      </c>
      <c r="C47" s="2" t="s">
        <v>133</v>
      </c>
      <c r="D47" s="2" t="s">
        <v>12</v>
      </c>
      <c r="E47" s="2" t="s">
        <v>36</v>
      </c>
      <c r="F47" s="25"/>
      <c r="G47" s="28">
        <f>(G41+G40)</f>
        <v>64.62613875450148</v>
      </c>
      <c r="H47" s="28"/>
      <c r="I47" s="28">
        <f>(I41+I40)</f>
        <v>59.00423878228729</v>
      </c>
      <c r="J47" s="28"/>
      <c r="K47" s="28">
        <f>(K41+K40)</f>
        <v>83.69657766194933</v>
      </c>
      <c r="L47" s="25"/>
      <c r="M47" s="28">
        <f>AVERAGE(K47,I47,G47)</f>
        <v>69.10898506624603</v>
      </c>
    </row>
    <row r="48" spans="2:13" ht="12.75">
      <c r="B48" s="2" t="s">
        <v>6</v>
      </c>
      <c r="C48" s="2" t="s">
        <v>133</v>
      </c>
      <c r="D48" s="2" t="s">
        <v>12</v>
      </c>
      <c r="E48" s="2" t="s">
        <v>36</v>
      </c>
      <c r="F48" s="25">
        <f>G42/G48*100</f>
        <v>47.565870179133185</v>
      </c>
      <c r="G48" s="28">
        <f>G44+G42+G43</f>
        <v>52.89961492852207</v>
      </c>
      <c r="H48" s="25">
        <f>I42/I48*100</f>
        <v>31.872279535972194</v>
      </c>
      <c r="I48" s="28">
        <f>I44+I42+I43</f>
        <v>75.71337632167997</v>
      </c>
      <c r="J48" s="28"/>
      <c r="K48" s="28">
        <f>K44+K42+K43</f>
        <v>53.961045886497224</v>
      </c>
      <c r="L48" s="26">
        <f>(F48*G48+H48*I48)/(3*M48)</f>
        <v>26.999315939222356</v>
      </c>
      <c r="M48" s="28">
        <f>AVERAGE(K48,I48,G48)</f>
        <v>60.85801237889975</v>
      </c>
    </row>
    <row r="50" spans="1:13" ht="12.75">
      <c r="A50" s="2">
        <v>2</v>
      </c>
      <c r="B50" s="1" t="s">
        <v>118</v>
      </c>
      <c r="C50" s="1"/>
      <c r="G50" s="3" t="s">
        <v>126</v>
      </c>
      <c r="H50" s="3"/>
      <c r="I50" s="3" t="s">
        <v>127</v>
      </c>
      <c r="J50" s="3"/>
      <c r="K50" s="3" t="s">
        <v>128</v>
      </c>
      <c r="L50" s="3"/>
      <c r="M50" s="3" t="s">
        <v>33</v>
      </c>
    </row>
    <row r="51" ht="12.75">
      <c r="M51" s="9"/>
    </row>
    <row r="52" spans="2:13" ht="12.75">
      <c r="B52" s="2" t="s">
        <v>107</v>
      </c>
      <c r="D52" s="2" t="s">
        <v>11</v>
      </c>
      <c r="E52" s="2" t="s">
        <v>36</v>
      </c>
      <c r="G52" s="2">
        <v>72.5</v>
      </c>
      <c r="I52" s="2">
        <v>86.1</v>
      </c>
      <c r="K52" s="2">
        <v>79.5</v>
      </c>
      <c r="M52" s="6">
        <f>AVERAGE(K52,I52,G52)</f>
        <v>79.36666666666666</v>
      </c>
    </row>
    <row r="53" spans="2:13" ht="12.75">
      <c r="B53" s="2" t="s">
        <v>106</v>
      </c>
      <c r="D53" s="2" t="s">
        <v>11</v>
      </c>
      <c r="E53" s="2" t="s">
        <v>36</v>
      </c>
      <c r="G53" s="6">
        <v>73.09</v>
      </c>
      <c r="H53" s="6"/>
      <c r="I53" s="6">
        <v>84.52</v>
      </c>
      <c r="J53" s="6"/>
      <c r="K53" s="6">
        <v>79.63</v>
      </c>
      <c r="M53" s="6">
        <f>AVERAGE(K53,I53,G53)</f>
        <v>79.08</v>
      </c>
    </row>
    <row r="54" ht="12.75">
      <c r="M54" s="9"/>
    </row>
    <row r="56" spans="7:13" ht="12.75">
      <c r="G56" s="9"/>
      <c r="H56" s="9"/>
      <c r="I56" s="9"/>
      <c r="J56" s="9"/>
      <c r="K56" s="9"/>
      <c r="L56" s="9"/>
      <c r="M56" s="9"/>
    </row>
    <row r="57" spans="7:13" ht="12.75">
      <c r="G57" s="9"/>
      <c r="H57" s="9"/>
      <c r="I57" s="9"/>
      <c r="J57" s="9"/>
      <c r="K57" s="9"/>
      <c r="L57" s="14"/>
      <c r="M57" s="14"/>
    </row>
    <row r="58" spans="7:13" ht="12.75">
      <c r="G58" s="9"/>
      <c r="H58" s="9"/>
      <c r="I58" s="9"/>
      <c r="J58" s="9"/>
      <c r="K58" s="9"/>
      <c r="L58" s="9"/>
      <c r="M58" s="9"/>
    </row>
    <row r="62" ht="12.75">
      <c r="M62" s="10"/>
    </row>
    <row r="65" spans="7:13" ht="12.75">
      <c r="G65" s="9"/>
      <c r="H65" s="9"/>
      <c r="I65" s="9"/>
      <c r="J65" s="9"/>
      <c r="K65" s="9"/>
      <c r="L65" s="9"/>
      <c r="M65" s="9"/>
    </row>
    <row r="72" spans="7:13" ht="12.75">
      <c r="G72" s="9"/>
      <c r="H72" s="9"/>
      <c r="I72" s="9"/>
      <c r="J72" s="9"/>
      <c r="K72" s="9"/>
      <c r="L72" s="14"/>
      <c r="M72" s="6"/>
    </row>
    <row r="75" ht="12.75">
      <c r="M75" s="15"/>
    </row>
    <row r="76" ht="12.75">
      <c r="M76" s="16"/>
    </row>
    <row r="77" ht="12.75">
      <c r="M77" s="15"/>
    </row>
    <row r="78" ht="12.75">
      <c r="M78" s="6"/>
    </row>
    <row r="79" ht="12.75">
      <c r="M79" s="14"/>
    </row>
    <row r="80" ht="12.75">
      <c r="M80" s="6"/>
    </row>
    <row r="81" ht="12.75">
      <c r="M81" s="6"/>
    </row>
    <row r="83" ht="12.75">
      <c r="M83" s="6"/>
    </row>
    <row r="84" ht="12.75">
      <c r="M84" s="6"/>
    </row>
    <row r="87" ht="12.75"/>
    <row r="88" ht="12.75"/>
    <row r="89" ht="12.75"/>
    <row r="90" ht="12.75"/>
    <row r="91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0"/>
  <sheetViews>
    <sheetView zoomScale="75" zoomScaleNormal="75" workbookViewId="0" topLeftCell="B24">
      <selection activeCell="C8" sqref="C8"/>
    </sheetView>
  </sheetViews>
  <sheetFormatPr defaultColWidth="9.140625" defaultRowHeight="12.75"/>
  <cols>
    <col min="1" max="1" width="6.140625" style="2" hidden="1" customWidth="1"/>
    <col min="2" max="2" width="19.421875" style="2" customWidth="1"/>
    <col min="3" max="3" width="10.7109375" style="2" customWidth="1"/>
    <col min="4" max="4" width="9.8515625" style="2" customWidth="1"/>
    <col min="5" max="5" width="4.421875" style="3" customWidth="1"/>
    <col min="6" max="6" width="10.421875" style="3" customWidth="1"/>
    <col min="7" max="7" width="4.28125" style="3" customWidth="1"/>
    <col min="8" max="8" width="9.57421875" style="3" customWidth="1"/>
    <col min="9" max="9" width="4.140625" style="3" customWidth="1"/>
    <col min="10" max="10" width="10.7109375" style="3" customWidth="1"/>
    <col min="11" max="11" width="4.57421875" style="3" customWidth="1"/>
    <col min="12" max="12" width="10.140625" style="2" customWidth="1"/>
    <col min="13" max="13" width="4.140625" style="2" customWidth="1"/>
    <col min="14" max="14" width="10.140625" style="2" customWidth="1"/>
    <col min="15" max="15" width="3.7109375" style="2" customWidth="1"/>
    <col min="16" max="16" width="11.421875" style="2" customWidth="1"/>
    <col min="17" max="17" width="3.8515625" style="2" customWidth="1"/>
    <col min="18" max="18" width="11.421875" style="2" customWidth="1"/>
    <col min="19" max="19" width="4.00390625" style="2" customWidth="1"/>
    <col min="20" max="20" width="11.00390625" style="2" customWidth="1"/>
    <col min="21" max="21" width="2.7109375" style="2" customWidth="1"/>
    <col min="22" max="22" width="10.7109375" style="2" customWidth="1"/>
    <col min="23" max="23" width="2.7109375" style="2" customWidth="1"/>
    <col min="24" max="24" width="9.7109375" style="2" customWidth="1"/>
    <col min="25" max="25" width="2.7109375" style="2" customWidth="1"/>
    <col min="26" max="26" width="9.421875" style="2" customWidth="1"/>
    <col min="27" max="27" width="3.7109375" style="2" customWidth="1"/>
    <col min="28" max="28" width="9.7109375" style="2" customWidth="1"/>
    <col min="29" max="29" width="4.140625" style="2" customWidth="1"/>
    <col min="30" max="30" width="10.7109375" style="2" customWidth="1"/>
    <col min="31" max="31" width="4.8515625" style="2" customWidth="1"/>
    <col min="32" max="32" width="11.8515625" style="2" customWidth="1"/>
    <col min="33" max="33" width="3.7109375" style="2" customWidth="1"/>
    <col min="34" max="34" width="11.421875" style="2" customWidth="1"/>
    <col min="35" max="35" width="4.140625" style="2" customWidth="1"/>
    <col min="36" max="36" width="11.421875" style="2" customWidth="1"/>
    <col min="37" max="37" width="3.421875" style="2" customWidth="1"/>
    <col min="38" max="16384" width="11.421875" style="2" customWidth="1"/>
  </cols>
  <sheetData>
    <row r="1" spans="2:3" ht="12.75">
      <c r="B1" s="1" t="s">
        <v>74</v>
      </c>
      <c r="C1" s="1"/>
    </row>
    <row r="2" ht="12.75" customHeight="1"/>
    <row r="4" ht="12.75">
      <c r="AE4" s="3"/>
    </row>
    <row r="5" spans="1:36" ht="12.75">
      <c r="A5" s="2" t="s">
        <v>111</v>
      </c>
      <c r="B5" s="1" t="s">
        <v>110</v>
      </c>
      <c r="C5" s="1"/>
      <c r="F5" s="3" t="s">
        <v>126</v>
      </c>
      <c r="H5" s="3" t="s">
        <v>127</v>
      </c>
      <c r="J5" s="3" t="s">
        <v>128</v>
      </c>
      <c r="L5" s="2" t="s">
        <v>33</v>
      </c>
      <c r="N5" s="3" t="s">
        <v>126</v>
      </c>
      <c r="O5" s="3"/>
      <c r="P5" s="3" t="s">
        <v>127</v>
      </c>
      <c r="Q5" s="3"/>
      <c r="R5" s="3" t="s">
        <v>128</v>
      </c>
      <c r="S5" s="3"/>
      <c r="T5" s="2" t="s">
        <v>33</v>
      </c>
      <c r="V5" s="3" t="s">
        <v>126</v>
      </c>
      <c r="W5" s="3"/>
      <c r="X5" s="3" t="s">
        <v>127</v>
      </c>
      <c r="Y5" s="3"/>
      <c r="Z5" s="3" t="s">
        <v>128</v>
      </c>
      <c r="AA5" s="3"/>
      <c r="AB5" s="2" t="s">
        <v>33</v>
      </c>
      <c r="AD5" s="3" t="s">
        <v>126</v>
      </c>
      <c r="AE5" s="3"/>
      <c r="AF5" s="3" t="s">
        <v>127</v>
      </c>
      <c r="AG5" s="3"/>
      <c r="AH5" s="3" t="s">
        <v>128</v>
      </c>
      <c r="AI5" s="3"/>
      <c r="AJ5" s="2" t="s">
        <v>33</v>
      </c>
    </row>
    <row r="6" spans="2:35" ht="12.75">
      <c r="B6" s="1"/>
      <c r="C6" s="1"/>
      <c r="N6" s="3"/>
      <c r="O6" s="3"/>
      <c r="P6" s="3"/>
      <c r="Q6" s="3"/>
      <c r="R6" s="3"/>
      <c r="S6" s="3"/>
      <c r="V6" s="3"/>
      <c r="W6" s="3"/>
      <c r="X6" s="3"/>
      <c r="Y6" s="3"/>
      <c r="Z6" s="3"/>
      <c r="AA6" s="3"/>
      <c r="AD6" s="3"/>
      <c r="AE6" s="3"/>
      <c r="AF6" s="3"/>
      <c r="AG6" s="3"/>
      <c r="AH6" s="3"/>
      <c r="AI6" s="3"/>
    </row>
    <row r="7" spans="2:36" ht="12.75">
      <c r="B7" s="36" t="s">
        <v>129</v>
      </c>
      <c r="C7" s="1"/>
      <c r="F7" s="3" t="s">
        <v>145</v>
      </c>
      <c r="H7" s="3" t="s">
        <v>145</v>
      </c>
      <c r="J7" s="3" t="s">
        <v>145</v>
      </c>
      <c r="L7" s="3" t="s">
        <v>145</v>
      </c>
      <c r="N7" s="3" t="s">
        <v>146</v>
      </c>
      <c r="O7" s="3"/>
      <c r="P7" s="3" t="s">
        <v>146</v>
      </c>
      <c r="Q7" s="3"/>
      <c r="R7" s="3" t="s">
        <v>146</v>
      </c>
      <c r="S7" s="3"/>
      <c r="T7" s="3" t="s">
        <v>146</v>
      </c>
      <c r="V7" s="3" t="s">
        <v>147</v>
      </c>
      <c r="W7" s="3"/>
      <c r="X7" s="3" t="s">
        <v>147</v>
      </c>
      <c r="Y7" s="3"/>
      <c r="Z7" s="3" t="s">
        <v>147</v>
      </c>
      <c r="AA7" s="3"/>
      <c r="AB7" s="3" t="s">
        <v>147</v>
      </c>
      <c r="AD7" s="3" t="s">
        <v>148</v>
      </c>
      <c r="AE7" s="3"/>
      <c r="AF7" s="3" t="s">
        <v>148</v>
      </c>
      <c r="AG7" s="3"/>
      <c r="AH7" s="3" t="s">
        <v>148</v>
      </c>
      <c r="AI7" s="3"/>
      <c r="AJ7" s="3" t="s">
        <v>148</v>
      </c>
    </row>
    <row r="8" spans="2:36" ht="12.75">
      <c r="B8" s="36" t="s">
        <v>130</v>
      </c>
      <c r="C8" s="1"/>
      <c r="F8" s="11" t="s">
        <v>67</v>
      </c>
      <c r="H8" s="11" t="s">
        <v>67</v>
      </c>
      <c r="J8" s="11" t="s">
        <v>67</v>
      </c>
      <c r="L8" s="11" t="s">
        <v>67</v>
      </c>
      <c r="M8" s="11"/>
      <c r="N8" s="11" t="s">
        <v>131</v>
      </c>
      <c r="O8" s="11"/>
      <c r="P8" s="11" t="s">
        <v>131</v>
      </c>
      <c r="Q8" s="11"/>
      <c r="R8" s="11" t="s">
        <v>131</v>
      </c>
      <c r="S8" s="11"/>
      <c r="T8" s="11" t="s">
        <v>131</v>
      </c>
      <c r="U8" s="11"/>
      <c r="V8" s="16" t="s">
        <v>13</v>
      </c>
      <c r="W8" s="11"/>
      <c r="X8" s="16" t="s">
        <v>13</v>
      </c>
      <c r="Y8" s="11"/>
      <c r="Z8" s="16" t="s">
        <v>13</v>
      </c>
      <c r="AA8" s="11"/>
      <c r="AB8" s="16" t="s">
        <v>13</v>
      </c>
      <c r="AC8" s="16"/>
      <c r="AD8" s="2" t="s">
        <v>69</v>
      </c>
      <c r="AF8" s="2" t="s">
        <v>69</v>
      </c>
      <c r="AH8" s="2" t="s">
        <v>69</v>
      </c>
      <c r="AJ8" s="2" t="s">
        <v>69</v>
      </c>
    </row>
    <row r="9" spans="2:36" ht="12.75">
      <c r="B9" s="36" t="s">
        <v>150</v>
      </c>
      <c r="C9" s="1"/>
      <c r="F9" s="11" t="s">
        <v>67</v>
      </c>
      <c r="H9" s="11" t="s">
        <v>67</v>
      </c>
      <c r="J9" s="11" t="s">
        <v>67</v>
      </c>
      <c r="L9" s="11" t="s">
        <v>67</v>
      </c>
      <c r="M9" s="11"/>
      <c r="N9" s="11" t="s">
        <v>1</v>
      </c>
      <c r="O9" s="11"/>
      <c r="P9" s="11" t="s">
        <v>1</v>
      </c>
      <c r="Q9" s="11"/>
      <c r="R9" s="11" t="s">
        <v>1</v>
      </c>
      <c r="S9" s="11"/>
      <c r="T9" s="11" t="s">
        <v>1</v>
      </c>
      <c r="U9" s="11"/>
      <c r="V9" s="16" t="s">
        <v>13</v>
      </c>
      <c r="W9" s="11"/>
      <c r="X9" s="16" t="s">
        <v>13</v>
      </c>
      <c r="Y9" s="11"/>
      <c r="Z9" s="16" t="s">
        <v>13</v>
      </c>
      <c r="AA9" s="11"/>
      <c r="AB9" s="16" t="s">
        <v>13</v>
      </c>
      <c r="AC9" s="16"/>
      <c r="AD9" s="2" t="s">
        <v>69</v>
      </c>
      <c r="AF9" s="2" t="s">
        <v>69</v>
      </c>
      <c r="AH9" s="2" t="s">
        <v>69</v>
      </c>
      <c r="AJ9" s="2" t="s">
        <v>69</v>
      </c>
    </row>
    <row r="10" spans="2:36" ht="12.75">
      <c r="B10" s="2" t="s">
        <v>114</v>
      </c>
      <c r="F10" s="11" t="s">
        <v>67</v>
      </c>
      <c r="H10" s="11" t="s">
        <v>67</v>
      </c>
      <c r="J10" s="11" t="s">
        <v>67</v>
      </c>
      <c r="L10" s="11" t="s">
        <v>67</v>
      </c>
      <c r="M10" s="11"/>
      <c r="N10" s="11" t="s">
        <v>68</v>
      </c>
      <c r="O10" s="11"/>
      <c r="P10" s="11" t="s">
        <v>68</v>
      </c>
      <c r="Q10" s="11"/>
      <c r="R10" s="11" t="s">
        <v>68</v>
      </c>
      <c r="S10" s="11"/>
      <c r="T10" s="11" t="s">
        <v>68</v>
      </c>
      <c r="U10" s="11"/>
      <c r="V10" s="16" t="s">
        <v>13</v>
      </c>
      <c r="W10" s="11"/>
      <c r="X10" s="16" t="s">
        <v>13</v>
      </c>
      <c r="Y10" s="11"/>
      <c r="Z10" s="16" t="s">
        <v>13</v>
      </c>
      <c r="AA10" s="11"/>
      <c r="AB10" s="16" t="s">
        <v>13</v>
      </c>
      <c r="AC10" s="16"/>
      <c r="AD10" s="2" t="s">
        <v>69</v>
      </c>
      <c r="AF10" s="2" t="s">
        <v>69</v>
      </c>
      <c r="AH10" s="2" t="s">
        <v>69</v>
      </c>
      <c r="AJ10" s="2" t="s">
        <v>69</v>
      </c>
    </row>
    <row r="11" spans="2:30" ht="12.75">
      <c r="B11" s="2" t="s">
        <v>113</v>
      </c>
      <c r="D11" s="2" t="s">
        <v>66</v>
      </c>
      <c r="F11" s="11">
        <v>17482</v>
      </c>
      <c r="G11" s="11"/>
      <c r="H11" s="11">
        <v>17499</v>
      </c>
      <c r="I11" s="11"/>
      <c r="J11" s="11">
        <v>17495</v>
      </c>
      <c r="L11" s="10">
        <v>17492</v>
      </c>
      <c r="M11" s="10"/>
      <c r="N11" s="10">
        <v>13594</v>
      </c>
      <c r="O11" s="10"/>
      <c r="P11" s="10">
        <v>15333</v>
      </c>
      <c r="Q11" s="10"/>
      <c r="R11" s="10">
        <v>15476</v>
      </c>
      <c r="S11" s="10"/>
      <c r="T11" s="10">
        <v>14817</v>
      </c>
      <c r="U11" s="10"/>
      <c r="V11" s="10">
        <v>166.1</v>
      </c>
      <c r="W11" s="10"/>
      <c r="X11" s="10">
        <v>165.1</v>
      </c>
      <c r="Y11" s="10"/>
      <c r="Z11" s="10">
        <v>182.8</v>
      </c>
      <c r="AA11" s="10"/>
      <c r="AB11" s="10">
        <v>171.2</v>
      </c>
      <c r="AC11" s="10"/>
      <c r="AD11" s="8"/>
    </row>
    <row r="12" spans="2:20" ht="12.75">
      <c r="B12" s="2" t="s">
        <v>65</v>
      </c>
      <c r="D12" s="2" t="s">
        <v>37</v>
      </c>
      <c r="F12" s="11">
        <v>12752</v>
      </c>
      <c r="G12" s="11"/>
      <c r="H12" s="11">
        <v>12990</v>
      </c>
      <c r="I12" s="11"/>
      <c r="J12" s="11">
        <v>12835</v>
      </c>
      <c r="L12" s="2">
        <v>12859</v>
      </c>
      <c r="N12" s="2">
        <v>1255</v>
      </c>
      <c r="P12" s="2">
        <v>1303</v>
      </c>
      <c r="R12" s="2">
        <v>1330</v>
      </c>
      <c r="T12" s="2">
        <v>1296</v>
      </c>
    </row>
    <row r="13" spans="2:30" ht="12.75">
      <c r="B13" s="2" t="s">
        <v>8</v>
      </c>
      <c r="D13" s="2" t="s">
        <v>66</v>
      </c>
      <c r="F13" s="11">
        <v>1411</v>
      </c>
      <c r="H13" s="11">
        <v>1545</v>
      </c>
      <c r="J13" s="11">
        <v>1461</v>
      </c>
      <c r="L13" s="6">
        <v>1474</v>
      </c>
      <c r="M13" s="6"/>
      <c r="N13" s="6">
        <v>361</v>
      </c>
      <c r="O13" s="6"/>
      <c r="P13" s="6">
        <v>449</v>
      </c>
      <c r="Q13" s="6"/>
      <c r="R13" s="6">
        <v>492</v>
      </c>
      <c r="S13" s="6"/>
      <c r="T13" s="6">
        <v>434</v>
      </c>
      <c r="U13" s="6"/>
      <c r="V13" s="6"/>
      <c r="W13" s="6"/>
      <c r="X13" s="6"/>
      <c r="Y13" s="6"/>
      <c r="Z13" s="6"/>
      <c r="AA13" s="6"/>
      <c r="AB13" s="6"/>
      <c r="AC13" s="6"/>
      <c r="AD13" s="16"/>
    </row>
    <row r="14" spans="2:30" ht="12.75">
      <c r="B14" s="2" t="s">
        <v>38</v>
      </c>
      <c r="D14" s="2" t="s">
        <v>66</v>
      </c>
      <c r="F14" s="11">
        <v>19.2</v>
      </c>
      <c r="H14" s="11">
        <v>19.2</v>
      </c>
      <c r="J14" s="11">
        <v>19.2</v>
      </c>
      <c r="L14" s="6">
        <v>19.2</v>
      </c>
      <c r="M14" s="6"/>
      <c r="N14" s="6">
        <v>9.63</v>
      </c>
      <c r="O14" s="6"/>
      <c r="P14" s="6">
        <v>14</v>
      </c>
      <c r="Q14" s="6"/>
      <c r="R14" s="6">
        <v>12.5</v>
      </c>
      <c r="S14" s="6"/>
      <c r="T14" s="6">
        <v>12</v>
      </c>
      <c r="U14" s="6"/>
      <c r="V14" s="6"/>
      <c r="W14" s="6"/>
      <c r="X14" s="6"/>
      <c r="Y14" s="6"/>
      <c r="Z14" s="6"/>
      <c r="AA14" s="6"/>
      <c r="AB14" s="6"/>
      <c r="AC14" s="6"/>
      <c r="AD14" s="16"/>
    </row>
    <row r="15" spans="2:30" ht="12.75">
      <c r="B15" s="2" t="s">
        <v>99</v>
      </c>
      <c r="D15" s="2" t="s">
        <v>66</v>
      </c>
      <c r="E15" s="3" t="s">
        <v>64</v>
      </c>
      <c r="F15" s="11">
        <v>0.0112</v>
      </c>
      <c r="G15" s="3" t="s">
        <v>64</v>
      </c>
      <c r="H15" s="11">
        <v>0.0122</v>
      </c>
      <c r="I15" s="3" t="s">
        <v>64</v>
      </c>
      <c r="J15" s="11">
        <v>0.0115</v>
      </c>
      <c r="L15" s="13">
        <v>0.0117</v>
      </c>
      <c r="M15" s="13"/>
      <c r="N15" s="13">
        <v>2.71</v>
      </c>
      <c r="O15" s="13"/>
      <c r="P15" s="13">
        <v>4.74</v>
      </c>
      <c r="Q15" s="13"/>
      <c r="R15" s="9">
        <v>6.12</v>
      </c>
      <c r="S15" s="13"/>
      <c r="T15" s="9">
        <f>4.53-AB15</f>
        <v>2.4000000000000004</v>
      </c>
      <c r="U15" s="9"/>
      <c r="V15" s="9">
        <v>2.07</v>
      </c>
      <c r="W15" s="9"/>
      <c r="X15" s="9">
        <v>2.06</v>
      </c>
      <c r="Y15" s="9"/>
      <c r="Z15" s="9">
        <v>2.28</v>
      </c>
      <c r="AA15" s="9"/>
      <c r="AB15" s="14">
        <v>2.13</v>
      </c>
      <c r="AC15" s="14"/>
      <c r="AD15" s="21"/>
    </row>
    <row r="16" spans="2:30" ht="12.75">
      <c r="B16" s="2" t="s">
        <v>97</v>
      </c>
      <c r="D16" s="2" t="s">
        <v>66</v>
      </c>
      <c r="F16" s="11">
        <v>0.0671</v>
      </c>
      <c r="H16" s="11">
        <v>0.092</v>
      </c>
      <c r="J16" s="11">
        <v>0.177</v>
      </c>
      <c r="L16" s="13">
        <v>0.112</v>
      </c>
      <c r="M16" s="13"/>
      <c r="N16" s="13">
        <f>0.182-V16</f>
        <v>0.043999999999999984</v>
      </c>
      <c r="O16" s="13"/>
      <c r="P16" s="13">
        <f>0.335-X16</f>
        <v>0.198</v>
      </c>
      <c r="Q16" s="13"/>
      <c r="R16" s="9">
        <f>0.385-Z16</f>
        <v>0.233</v>
      </c>
      <c r="S16" s="13"/>
      <c r="T16" s="9">
        <f>0.302-AB16</f>
        <v>0.16</v>
      </c>
      <c r="U16" s="9"/>
      <c r="V16" s="9">
        <v>0.138</v>
      </c>
      <c r="W16" s="9"/>
      <c r="X16" s="9">
        <v>0.137</v>
      </c>
      <c r="Y16" s="9"/>
      <c r="Z16" s="9">
        <v>0.152</v>
      </c>
      <c r="AA16" s="9"/>
      <c r="AB16" s="14">
        <v>0.142</v>
      </c>
      <c r="AC16" s="14"/>
      <c r="AD16" s="21"/>
    </row>
    <row r="17" spans="2:30" ht="12.75">
      <c r="B17" s="2" t="s">
        <v>120</v>
      </c>
      <c r="D17" s="2" t="s">
        <v>66</v>
      </c>
      <c r="F17" s="11">
        <v>0.288</v>
      </c>
      <c r="H17" s="11">
        <v>0.368</v>
      </c>
      <c r="J17" s="11">
        <v>0.277</v>
      </c>
      <c r="L17" s="13">
        <v>0.311</v>
      </c>
      <c r="M17" s="13"/>
      <c r="N17" s="13">
        <v>8.23</v>
      </c>
      <c r="O17" s="13"/>
      <c r="P17" s="13">
        <v>11.7</v>
      </c>
      <c r="Q17" s="13"/>
      <c r="R17" s="9">
        <v>16.4</v>
      </c>
      <c r="S17" s="13"/>
      <c r="T17" s="9">
        <v>12.1</v>
      </c>
      <c r="U17" s="9"/>
      <c r="V17" s="9">
        <v>5.88</v>
      </c>
      <c r="W17" s="9"/>
      <c r="X17" s="9">
        <v>5.84</v>
      </c>
      <c r="Y17" s="9"/>
      <c r="Z17" s="9">
        <v>6.47</v>
      </c>
      <c r="AA17" s="9"/>
      <c r="AB17" s="14">
        <v>6.05</v>
      </c>
      <c r="AC17" s="14"/>
      <c r="AD17" s="21"/>
    </row>
    <row r="18" spans="2:30" ht="12.75">
      <c r="B18" s="2" t="s">
        <v>98</v>
      </c>
      <c r="D18" s="2" t="s">
        <v>66</v>
      </c>
      <c r="F18" s="11">
        <v>0.0285</v>
      </c>
      <c r="H18" s="11">
        <v>0.0287</v>
      </c>
      <c r="J18" s="11">
        <v>0.0279</v>
      </c>
      <c r="L18" s="13">
        <v>0.0282</v>
      </c>
      <c r="M18" s="13"/>
      <c r="N18" s="13">
        <v>0.0248</v>
      </c>
      <c r="O18" s="13"/>
      <c r="P18" s="13">
        <v>0.0251</v>
      </c>
      <c r="Q18" s="13"/>
      <c r="R18" s="13">
        <v>0.0424</v>
      </c>
      <c r="S18" s="13"/>
      <c r="T18" s="9">
        <v>0</v>
      </c>
      <c r="U18" s="9"/>
      <c r="V18" s="9">
        <v>0.0648</v>
      </c>
      <c r="W18" s="9"/>
      <c r="X18" s="9">
        <v>0.0644</v>
      </c>
      <c r="Y18" s="9"/>
      <c r="Z18" s="9">
        <v>0.0713</v>
      </c>
      <c r="AA18" s="9"/>
      <c r="AB18" s="14">
        <v>0.067</v>
      </c>
      <c r="AC18" s="14"/>
      <c r="AD18" s="21"/>
    </row>
    <row r="19" spans="2:30" ht="12.75">
      <c r="B19" s="2" t="s">
        <v>96</v>
      </c>
      <c r="D19" s="2" t="s">
        <v>66</v>
      </c>
      <c r="F19" s="11">
        <v>0.00175</v>
      </c>
      <c r="H19" s="11">
        <v>0.00437</v>
      </c>
      <c r="J19" s="11">
        <v>0.00805</v>
      </c>
      <c r="L19" s="13">
        <v>0.00471</v>
      </c>
      <c r="M19" s="13"/>
      <c r="N19" s="13">
        <f>0.101-V19</f>
        <v>0.03950000000000001</v>
      </c>
      <c r="O19" s="13"/>
      <c r="P19" s="13">
        <f>0.131-X19</f>
        <v>0.0699</v>
      </c>
      <c r="Q19" s="13"/>
      <c r="R19" s="13">
        <f>0.244-Z19</f>
        <v>0.1764</v>
      </c>
      <c r="S19" s="13"/>
      <c r="T19" s="9">
        <f>0.158-AB19</f>
        <v>0.0947</v>
      </c>
      <c r="U19" s="9"/>
      <c r="V19" s="9">
        <v>0.0615</v>
      </c>
      <c r="W19" s="9"/>
      <c r="X19" s="9">
        <v>0.0611</v>
      </c>
      <c r="Y19" s="9"/>
      <c r="Z19" s="9">
        <v>0.0676</v>
      </c>
      <c r="AA19" s="9"/>
      <c r="AB19" s="14">
        <v>0.0633</v>
      </c>
      <c r="AC19" s="14"/>
      <c r="AD19" s="21"/>
    </row>
    <row r="20" spans="2:30" ht="12.75">
      <c r="B20" s="2" t="s">
        <v>108</v>
      </c>
      <c r="D20" s="2" t="s">
        <v>66</v>
      </c>
      <c r="F20" s="11">
        <v>0.324</v>
      </c>
      <c r="H20" s="11">
        <v>0.374</v>
      </c>
      <c r="J20" s="11">
        <v>0.343</v>
      </c>
      <c r="L20" s="13">
        <v>0.348</v>
      </c>
      <c r="M20" s="13"/>
      <c r="N20" s="13">
        <f>2.22-V20</f>
        <v>1.3760000000000003</v>
      </c>
      <c r="O20" s="13"/>
      <c r="P20" s="13">
        <f>2.65-X20</f>
        <v>1.811</v>
      </c>
      <c r="Q20" s="13"/>
      <c r="R20" s="13">
        <f>4.02-Z20</f>
        <v>3.0909999999999993</v>
      </c>
      <c r="S20" s="13"/>
      <c r="T20" s="9">
        <f>2.96-AB20</f>
        <v>2.09</v>
      </c>
      <c r="U20" s="9"/>
      <c r="V20" s="9">
        <v>0.844</v>
      </c>
      <c r="W20" s="9"/>
      <c r="X20" s="9">
        <v>0.839</v>
      </c>
      <c r="Y20" s="9"/>
      <c r="Z20" s="9">
        <v>0.929</v>
      </c>
      <c r="AA20" s="9"/>
      <c r="AB20" s="14">
        <v>0.87</v>
      </c>
      <c r="AC20" s="14"/>
      <c r="AD20" s="21"/>
    </row>
    <row r="21" spans="2:30" ht="12.75">
      <c r="B21" s="2" t="s">
        <v>95</v>
      </c>
      <c r="D21" s="2" t="s">
        <v>66</v>
      </c>
      <c r="F21" s="11">
        <v>0.0337</v>
      </c>
      <c r="H21" s="11">
        <v>0.0374</v>
      </c>
      <c r="J21" s="11">
        <v>0.0348</v>
      </c>
      <c r="L21" s="13">
        <v>0.0354</v>
      </c>
      <c r="M21" s="13"/>
      <c r="N21" s="13">
        <f>0.732-V21</f>
        <v>0.26999999999999996</v>
      </c>
      <c r="O21" s="13"/>
      <c r="P21" s="13">
        <f>0.867-X21</f>
        <v>0.408</v>
      </c>
      <c r="Q21" s="13"/>
      <c r="R21" s="13">
        <f>1.5-Z21</f>
        <v>0.992</v>
      </c>
      <c r="S21" s="13"/>
      <c r="T21" s="9">
        <v>0.55</v>
      </c>
      <c r="U21" s="9"/>
      <c r="V21" s="9">
        <v>0.462</v>
      </c>
      <c r="W21" s="9"/>
      <c r="X21" s="9">
        <v>0.459</v>
      </c>
      <c r="Y21" s="9"/>
      <c r="Z21" s="9">
        <v>0.508</v>
      </c>
      <c r="AA21" s="9"/>
      <c r="AB21" s="14">
        <v>0.476</v>
      </c>
      <c r="AC21" s="14"/>
      <c r="AD21" s="21"/>
    </row>
    <row r="22" spans="2:30" ht="12.75">
      <c r="B22" s="2" t="s">
        <v>94</v>
      </c>
      <c r="D22" s="2" t="s">
        <v>66</v>
      </c>
      <c r="E22" s="3" t="s">
        <v>64</v>
      </c>
      <c r="F22" s="11">
        <v>0.00035</v>
      </c>
      <c r="G22" s="3" t="s">
        <v>64</v>
      </c>
      <c r="H22" s="11">
        <v>0.000175</v>
      </c>
      <c r="I22" s="3" t="s">
        <v>64</v>
      </c>
      <c r="J22" s="11">
        <v>0.000175</v>
      </c>
      <c r="L22" s="13">
        <v>0.000231</v>
      </c>
      <c r="M22" s="13" t="s">
        <v>64</v>
      </c>
      <c r="N22" s="13">
        <v>0.000138</v>
      </c>
      <c r="O22" s="13" t="s">
        <v>64</v>
      </c>
      <c r="P22" s="13">
        <v>0.000155</v>
      </c>
      <c r="Q22" s="13" t="s">
        <v>64</v>
      </c>
      <c r="R22" s="13">
        <v>0.000157</v>
      </c>
      <c r="S22" s="13"/>
      <c r="T22" s="9">
        <v>0.00015</v>
      </c>
      <c r="U22" s="9"/>
      <c r="V22" s="9">
        <v>0.0183</v>
      </c>
      <c r="W22" s="9"/>
      <c r="X22" s="9">
        <v>0.0182</v>
      </c>
      <c r="Y22" s="9"/>
      <c r="Z22" s="9">
        <v>0.0201</v>
      </c>
      <c r="AA22" s="9"/>
      <c r="AB22" s="14">
        <v>0.0188</v>
      </c>
      <c r="AC22" s="14"/>
      <c r="AD22" s="21"/>
    </row>
    <row r="23" spans="2:30" ht="12.75">
      <c r="B23" s="2" t="s">
        <v>121</v>
      </c>
      <c r="D23" s="2" t="s">
        <v>66</v>
      </c>
      <c r="E23" s="3" t="s">
        <v>64</v>
      </c>
      <c r="F23" s="11">
        <v>0.0281</v>
      </c>
      <c r="G23" s="3" t="s">
        <v>64</v>
      </c>
      <c r="H23" s="11">
        <v>0.0306</v>
      </c>
      <c r="I23" s="3" t="s">
        <v>64</v>
      </c>
      <c r="J23" s="11">
        <v>0.029</v>
      </c>
      <c r="L23" s="13">
        <v>0.0293</v>
      </c>
      <c r="M23" s="13"/>
      <c r="N23" s="13">
        <v>0.101</v>
      </c>
      <c r="O23" s="13"/>
      <c r="P23" s="13">
        <v>0.137</v>
      </c>
      <c r="Q23" s="13"/>
      <c r="R23" s="13">
        <v>0.255</v>
      </c>
      <c r="S23" s="13"/>
      <c r="T23" s="9">
        <v>0.164</v>
      </c>
      <c r="U23" s="9"/>
      <c r="V23" s="9">
        <v>0.0731</v>
      </c>
      <c r="W23" s="9"/>
      <c r="X23" s="9">
        <v>0.0726</v>
      </c>
      <c r="Y23" s="9"/>
      <c r="Z23" s="9">
        <v>0.0804</v>
      </c>
      <c r="AA23" s="9"/>
      <c r="AB23" s="14">
        <v>0.0753</v>
      </c>
      <c r="AC23" s="14"/>
      <c r="AD23" s="21"/>
    </row>
    <row r="24" spans="2:30" ht="12.75">
      <c r="B24" s="2" t="s">
        <v>122</v>
      </c>
      <c r="D24" s="2" t="s">
        <v>66</v>
      </c>
      <c r="E24" s="3" t="s">
        <v>64</v>
      </c>
      <c r="F24" s="11">
        <v>0.0226</v>
      </c>
      <c r="G24" s="3" t="s">
        <v>64</v>
      </c>
      <c r="H24" s="11">
        <v>0.0245</v>
      </c>
      <c r="I24" s="3" t="s">
        <v>64</v>
      </c>
      <c r="J24" s="11">
        <v>0.0233</v>
      </c>
      <c r="L24" s="13">
        <v>0.0235</v>
      </c>
      <c r="M24" s="13"/>
      <c r="N24" s="13">
        <v>0.101</v>
      </c>
      <c r="O24" s="13"/>
      <c r="P24" s="13">
        <v>0.171</v>
      </c>
      <c r="Q24" s="13"/>
      <c r="R24" s="13">
        <v>0.403</v>
      </c>
      <c r="S24" s="13"/>
      <c r="T24" s="9">
        <v>0.223</v>
      </c>
      <c r="U24" s="9"/>
      <c r="V24" s="9">
        <v>0.143</v>
      </c>
      <c r="W24" s="9"/>
      <c r="X24" s="9">
        <v>0.142</v>
      </c>
      <c r="Y24" s="9"/>
      <c r="Z24" s="9">
        <v>0.157</v>
      </c>
      <c r="AA24" s="9"/>
      <c r="AB24" s="14">
        <v>0.147</v>
      </c>
      <c r="AC24" s="14"/>
      <c r="AD24" s="21"/>
    </row>
    <row r="25" ht="12.75" customHeight="1"/>
    <row r="26" spans="2:30" ht="12.75">
      <c r="B26" s="2" t="s">
        <v>39</v>
      </c>
      <c r="D26" s="2" t="s">
        <v>15</v>
      </c>
      <c r="F26" s="22">
        <f>emiss!$G$25</f>
        <v>50873</v>
      </c>
      <c r="G26" s="11"/>
      <c r="H26" s="22">
        <f>emiss!$I$25</f>
        <v>51363</v>
      </c>
      <c r="I26" s="11"/>
      <c r="J26" s="22">
        <f>emiss!$K$25</f>
        <v>52155</v>
      </c>
      <c r="L26" s="6">
        <f>emiss!$M$25</f>
        <v>51463.666666666664</v>
      </c>
      <c r="M26" s="6"/>
      <c r="N26" s="22">
        <f>emiss!$G$25</f>
        <v>50873</v>
      </c>
      <c r="O26" s="11"/>
      <c r="P26" s="22">
        <f>emiss!$I$25</f>
        <v>51363</v>
      </c>
      <c r="Q26" s="11"/>
      <c r="R26" s="22">
        <f>emiss!$K$25</f>
        <v>52155</v>
      </c>
      <c r="S26" s="3"/>
      <c r="T26" s="6">
        <f>emiss!$M$25</f>
        <v>51463.666666666664</v>
      </c>
      <c r="U26" s="6"/>
      <c r="V26" s="22">
        <f>emiss!$G$25</f>
        <v>50873</v>
      </c>
      <c r="W26" s="11"/>
      <c r="X26" s="22">
        <f>emiss!$I$25</f>
        <v>51363</v>
      </c>
      <c r="Y26" s="11"/>
      <c r="Z26" s="22">
        <f>emiss!$K$25</f>
        <v>52155</v>
      </c>
      <c r="AA26" s="3"/>
      <c r="AB26" s="6">
        <f>emiss!$M$25</f>
        <v>51463.666666666664</v>
      </c>
      <c r="AC26" s="6"/>
      <c r="AD26" s="6"/>
    </row>
    <row r="27" spans="2:30" ht="12.75">
      <c r="B27" s="2" t="s">
        <v>9</v>
      </c>
      <c r="D27" s="2" t="s">
        <v>16</v>
      </c>
      <c r="F27" s="11">
        <f>emiss!$G$26</f>
        <v>6.2</v>
      </c>
      <c r="G27" s="11"/>
      <c r="H27" s="11">
        <f>emiss!$I$26</f>
        <v>5.8</v>
      </c>
      <c r="I27" s="11"/>
      <c r="J27" s="11">
        <f>emiss!$K$26</f>
        <v>5.3</v>
      </c>
      <c r="L27" s="6">
        <f>emiss!$M$26</f>
        <v>5.766666666666667</v>
      </c>
      <c r="M27" s="6"/>
      <c r="N27" s="11">
        <f>emiss!$G$26</f>
        <v>6.2</v>
      </c>
      <c r="O27" s="11"/>
      <c r="P27" s="11">
        <f>emiss!$I$26</f>
        <v>5.8</v>
      </c>
      <c r="Q27" s="11"/>
      <c r="R27" s="11">
        <f>emiss!$K$26</f>
        <v>5.3</v>
      </c>
      <c r="S27" s="3"/>
      <c r="T27" s="6">
        <f>emiss!$M$26</f>
        <v>5.766666666666667</v>
      </c>
      <c r="U27" s="6"/>
      <c r="V27" s="11">
        <f>emiss!$G$26</f>
        <v>6.2</v>
      </c>
      <c r="W27" s="11"/>
      <c r="X27" s="11">
        <f>emiss!$I$26</f>
        <v>5.8</v>
      </c>
      <c r="Y27" s="11"/>
      <c r="Z27" s="11">
        <f>emiss!$K$26</f>
        <v>5.3</v>
      </c>
      <c r="AA27" s="3"/>
      <c r="AB27" s="6">
        <f>emiss!$M$26</f>
        <v>5.766666666666667</v>
      </c>
      <c r="AC27" s="6"/>
      <c r="AD27" s="6"/>
    </row>
    <row r="28" ht="12.75" customHeight="1"/>
    <row r="29" spans="2:36" ht="12.75">
      <c r="B29" s="2" t="s">
        <v>112</v>
      </c>
      <c r="D29" s="2" t="s">
        <v>149</v>
      </c>
      <c r="F29" s="6">
        <f>F11*F12/1000000</f>
        <v>222.930464</v>
      </c>
      <c r="H29" s="6">
        <f>H11*H12/1000000</f>
        <v>227.31201</v>
      </c>
      <c r="J29" s="6">
        <f>J11*J12/1000000</f>
        <v>224.548325</v>
      </c>
      <c r="L29" s="6">
        <f>L11*L12/1000000</f>
        <v>224.929628</v>
      </c>
      <c r="M29" s="6"/>
      <c r="N29" s="6">
        <f>N11*N12/1000000</f>
        <v>17.06047</v>
      </c>
      <c r="O29" s="6"/>
      <c r="P29" s="6">
        <f>P11*P12/1000000</f>
        <v>19.978899</v>
      </c>
      <c r="Q29" s="6"/>
      <c r="R29" s="6">
        <f>R11*R12/1000000</f>
        <v>20.58308</v>
      </c>
      <c r="S29" s="6"/>
      <c r="T29" s="6">
        <f>T11*T12/1000000</f>
        <v>19.202832</v>
      </c>
      <c r="U29" s="6"/>
      <c r="V29" s="6"/>
      <c r="W29" s="6"/>
      <c r="X29" s="6"/>
      <c r="Y29" s="6"/>
      <c r="Z29" s="6"/>
      <c r="AA29" s="6"/>
      <c r="AB29" s="4"/>
      <c r="AC29" s="4"/>
      <c r="AD29" s="10">
        <f>SUM(V29,N29,F29)</f>
        <v>239.990934</v>
      </c>
      <c r="AE29" s="10"/>
      <c r="AF29" s="10">
        <f>SUM(X29,P29,H29)</f>
        <v>247.290909</v>
      </c>
      <c r="AG29" s="10"/>
      <c r="AH29" s="10">
        <f>SUM(Z29,R29,J29)</f>
        <v>245.131405</v>
      </c>
      <c r="AI29" s="10"/>
      <c r="AJ29" s="10">
        <f>SUM(AB29,T29,L29)</f>
        <v>244.13246</v>
      </c>
    </row>
    <row r="30" spans="2:36" ht="12.75">
      <c r="B30" s="2" t="s">
        <v>40</v>
      </c>
      <c r="D30" s="2" t="s">
        <v>149</v>
      </c>
      <c r="L30" s="9"/>
      <c r="M30" s="9"/>
      <c r="N30" s="9"/>
      <c r="O30" s="9"/>
      <c r="P30" s="9"/>
      <c r="Q30" s="9"/>
      <c r="R30" s="9"/>
      <c r="S30" s="9"/>
      <c r="AD30" s="6">
        <f>V26/9000*(21-V27)/21*60</f>
        <v>239.02234920634925</v>
      </c>
      <c r="AF30" s="6">
        <f>X26/9000*(21-X27)/21*60</f>
        <v>247.84685714285715</v>
      </c>
      <c r="AH30" s="6">
        <f>Z26/9000*(21-Z27)/21*60</f>
        <v>259.94714285714286</v>
      </c>
      <c r="AJ30" s="6">
        <f>AB26/9000*(21-AB27)/21*60</f>
        <v>248.87720282186947</v>
      </c>
    </row>
    <row r="31" spans="12:30" ht="12.75">
      <c r="L31" s="9"/>
      <c r="M31" s="9"/>
      <c r="N31" s="9"/>
      <c r="O31" s="9"/>
      <c r="P31" s="9"/>
      <c r="Q31" s="9"/>
      <c r="R31" s="9"/>
      <c r="S31" s="9"/>
      <c r="AD31" s="6"/>
    </row>
    <row r="32" spans="2:30" ht="12.75">
      <c r="B32" s="24" t="s">
        <v>81</v>
      </c>
      <c r="C32" s="24"/>
      <c r="L32" s="9"/>
      <c r="M32" s="9"/>
      <c r="N32" s="9"/>
      <c r="O32" s="9"/>
      <c r="P32" s="9"/>
      <c r="Q32" s="9"/>
      <c r="R32" s="9"/>
      <c r="S32" s="9"/>
      <c r="AD32" s="6"/>
    </row>
    <row r="33" spans="2:37" ht="12.75">
      <c r="B33" s="2" t="s">
        <v>8</v>
      </c>
      <c r="D33" s="2" t="s">
        <v>14</v>
      </c>
      <c r="F33" s="6">
        <f>(F13*454*1000/60)/F$26/0.0283*(21-7)/(21-F$27)</f>
        <v>7014.943090081769</v>
      </c>
      <c r="G33" s="34"/>
      <c r="H33" s="6">
        <f>(H13*454*1000/60)/H$26/0.0283*(21-7)/(21-H$27)</f>
        <v>7407.654469530688</v>
      </c>
      <c r="I33" s="34"/>
      <c r="J33" s="6">
        <f>(J13*454*1000/60)/J$26/0.0283*(21-7)/(21-J$27)</f>
        <v>6678.836568942175</v>
      </c>
      <c r="K33" s="34"/>
      <c r="L33" s="6">
        <f>AVERAGE(J33,H33,F33)</f>
        <v>7033.811376184877</v>
      </c>
      <c r="M33" s="6"/>
      <c r="N33" s="6">
        <f>(N13*454*1000/60)/N$26/0.0283*(21-7)/(21-N$27)</f>
        <v>1794.7515630896658</v>
      </c>
      <c r="O33" s="6"/>
      <c r="P33" s="6">
        <f>(P13*454*1000/60)/P$26/0.0283*(21-7)/(21-P$27)</f>
        <v>2152.774664607948</v>
      </c>
      <c r="Q33" s="6"/>
      <c r="R33" s="6">
        <f>(R13*454*1000/60)/R$26/0.0283*(21-7)/(21-R$27)</f>
        <v>2249.1359287608143</v>
      </c>
      <c r="S33" s="6"/>
      <c r="T33" s="6">
        <f aca="true" t="shared" si="0" ref="T33:T44">AVERAGE(R33,P33,N33)</f>
        <v>2065.5540521528096</v>
      </c>
      <c r="U33" s="6"/>
      <c r="V33" s="6">
        <f>(V13*454*1000/60)/V$26/0.0283*(21-7)/(21-V$27)</f>
        <v>0</v>
      </c>
      <c r="W33" s="6"/>
      <c r="X33" s="6">
        <f>(X13*454*1000/60)/X$26/0.0283*(21-7)/(21-X$27)</f>
        <v>0</v>
      </c>
      <c r="Y33" s="6"/>
      <c r="Z33" s="6">
        <f>(Z13*454*1000/60)/Z$26/0.0283*(21-7)/(21-Z$27)</f>
        <v>0</v>
      </c>
      <c r="AA33" s="6"/>
      <c r="AB33" s="6"/>
      <c r="AC33" s="6"/>
      <c r="AD33" s="6">
        <f aca="true" t="shared" si="1" ref="AD33:AD44">SUM(V33,N33,F33)</f>
        <v>8809.694653171435</v>
      </c>
      <c r="AE33" s="6"/>
      <c r="AF33" s="6">
        <f aca="true" t="shared" si="2" ref="AF33:AF44">SUM(X33,P33,H33)</f>
        <v>9560.429134138636</v>
      </c>
      <c r="AG33" s="6"/>
      <c r="AH33" s="6">
        <f aca="true" t="shared" si="3" ref="AH33:AH44">SUM(Z33,R33,J33)</f>
        <v>8927.97249770299</v>
      </c>
      <c r="AI33" s="6"/>
      <c r="AJ33" s="6">
        <f aca="true" t="shared" si="4" ref="AJ33:AJ44">SUM(AB33,T33,L33)</f>
        <v>9099.365428337687</v>
      </c>
      <c r="AK33" s="6"/>
    </row>
    <row r="34" spans="2:37" ht="12.75">
      <c r="B34" s="2" t="s">
        <v>38</v>
      </c>
      <c r="D34" s="2" t="s">
        <v>12</v>
      </c>
      <c r="F34" s="6">
        <f>(F14*454*1000000/60)/F$26/0.0283*(21-7)/(21-F$27)</f>
        <v>95454.93077928417</v>
      </c>
      <c r="G34" s="34"/>
      <c r="H34" s="6">
        <f>(H14*454*1000000/60)/H$26/0.0283*(21-7)/(21-H$27)</f>
        <v>92056.28855339107</v>
      </c>
      <c r="I34" s="34"/>
      <c r="J34" s="6">
        <f aca="true" t="shared" si="5" ref="J34:J44">(J14*454*1000000/60)/J$26/0.0283*(21-7)/(21-J$27)</f>
        <v>87771.15819554396</v>
      </c>
      <c r="K34" s="34"/>
      <c r="L34" s="6">
        <f aca="true" t="shared" si="6" ref="L34:L44">AVERAGE(J34,H34,F34)</f>
        <v>91760.7925094064</v>
      </c>
      <c r="M34" s="6"/>
      <c r="N34" s="6">
        <f>(N14*454*1000000/60)/N$26/0.0283*(21-7)/(21-N$27)</f>
        <v>47876.61371898472</v>
      </c>
      <c r="O34" s="6"/>
      <c r="P34" s="6">
        <f>(P14*454*1000000/60)/P$26/0.0283*(21-7)/(21-P$27)</f>
        <v>67124.377070181</v>
      </c>
      <c r="Q34" s="6"/>
      <c r="R34" s="6">
        <f>(R14*454*1000000/60)/R$26/0.0283*(21-7)/(21-R$27)</f>
        <v>57142.6811168906</v>
      </c>
      <c r="S34" s="6"/>
      <c r="T34" s="6">
        <f t="shared" si="0"/>
        <v>57381.22396868544</v>
      </c>
      <c r="U34" s="6"/>
      <c r="V34" s="6">
        <f>(V14*454*1000000/60)/V$26/0.0283*(21-7)/(21-V$27)</f>
        <v>0</v>
      </c>
      <c r="W34" s="6"/>
      <c r="X34" s="6">
        <f>(X14*454*1000000/60)/X$26/0.0283*(21-7)/(21-X$27)</f>
        <v>0</v>
      </c>
      <c r="Y34" s="6"/>
      <c r="Z34" s="6">
        <f>(Z14*454*1000000/60)/Z$26/0.0283*(21-7)/(21-Z$27)</f>
        <v>0</v>
      </c>
      <c r="AA34" s="6"/>
      <c r="AB34" s="6"/>
      <c r="AC34" s="6"/>
      <c r="AD34" s="6">
        <f t="shared" si="1"/>
        <v>143331.5444982689</v>
      </c>
      <c r="AE34" s="6"/>
      <c r="AF34" s="6">
        <f t="shared" si="2"/>
        <v>159180.66562357207</v>
      </c>
      <c r="AG34" s="6"/>
      <c r="AH34" s="6">
        <f t="shared" si="3"/>
        <v>144913.83931243455</v>
      </c>
      <c r="AI34" s="6"/>
      <c r="AJ34" s="6">
        <f t="shared" si="4"/>
        <v>149142.01647809183</v>
      </c>
      <c r="AK34" s="6"/>
    </row>
    <row r="35" spans="2:37" ht="12.75">
      <c r="B35" s="2" t="s">
        <v>99</v>
      </c>
      <c r="D35" s="2" t="s">
        <v>12</v>
      </c>
      <c r="E35" s="3">
        <v>100</v>
      </c>
      <c r="F35" s="6">
        <f aca="true" t="shared" si="7" ref="F35:H44">(F15*454*1000000/60)/F$26/0.0283*(21-7)/(21-F$27)</f>
        <v>55.682042954582435</v>
      </c>
      <c r="G35" s="3">
        <v>100</v>
      </c>
      <c r="H35" s="6">
        <f t="shared" si="7"/>
        <v>58.49410001830058</v>
      </c>
      <c r="I35" s="3">
        <v>100</v>
      </c>
      <c r="J35" s="6">
        <f t="shared" si="5"/>
        <v>52.571266627539366</v>
      </c>
      <c r="K35" s="3">
        <v>100</v>
      </c>
      <c r="L35" s="6">
        <f t="shared" si="6"/>
        <v>55.58246986680746</v>
      </c>
      <c r="M35" s="6"/>
      <c r="N35" s="6">
        <f aca="true" t="shared" si="8" ref="N35:N44">(N15*454*1000000/60)/N$26/0.0283*(21-7)/(21-N$27)</f>
        <v>13473.065750617716</v>
      </c>
      <c r="O35" s="6"/>
      <c r="P35" s="6">
        <f aca="true" t="shared" si="9" ref="P35:P44">(P15*454*1000000/60)/P$26/0.0283*(21-7)/(21-P$27)</f>
        <v>22726.396236618428</v>
      </c>
      <c r="Q35" s="6"/>
      <c r="R35" s="6">
        <f aca="true" t="shared" si="10" ref="R35:R44">(R15*454*1000000/60)/R$26/0.0283*(21-7)/(21-R$27)</f>
        <v>27977.056674829644</v>
      </c>
      <c r="S35" s="6"/>
      <c r="T35" s="6">
        <f t="shared" si="0"/>
        <v>21392.17288735526</v>
      </c>
      <c r="U35" s="6"/>
      <c r="V35" s="6">
        <f aca="true" t="shared" si="11" ref="V35:V44">(V15*454*1000000/60)/V$26/0.0283*(21-7)/(21-V$27)</f>
        <v>10291.234724641574</v>
      </c>
      <c r="W35" s="6"/>
      <c r="X35" s="6">
        <f aca="true" t="shared" si="12" ref="X35:X44">(X15*454*1000000/60)/X$26/0.0283*(21-7)/(21-X$27)</f>
        <v>9876.87262604092</v>
      </c>
      <c r="Y35" s="6"/>
      <c r="Z35" s="6">
        <f aca="true" t="shared" si="13" ref="Z35:Z44">(Z15*454*1000000/60)/Z$26/0.0283*(21-7)/(21-Z$27)</f>
        <v>10422.825035720845</v>
      </c>
      <c r="AA35" s="6"/>
      <c r="AB35" s="6">
        <f aca="true" t="shared" si="14" ref="AB35:AB44">AVERAGE(Z35,X35,V35)</f>
        <v>10196.977462134446</v>
      </c>
      <c r="AC35" s="6"/>
      <c r="AD35" s="6">
        <f t="shared" si="1"/>
        <v>23819.982518213874</v>
      </c>
      <c r="AE35" s="6"/>
      <c r="AF35" s="6">
        <f t="shared" si="2"/>
        <v>32661.762962677647</v>
      </c>
      <c r="AG35" s="6"/>
      <c r="AH35" s="6">
        <f t="shared" si="3"/>
        <v>38452.45297717802</v>
      </c>
      <c r="AI35" s="6"/>
      <c r="AJ35" s="6">
        <f t="shared" si="4"/>
        <v>31644.73281935651</v>
      </c>
      <c r="AK35" s="6"/>
    </row>
    <row r="36" spans="2:37" ht="12.75">
      <c r="B36" s="2" t="s">
        <v>97</v>
      </c>
      <c r="D36" s="2" t="s">
        <v>12</v>
      </c>
      <c r="F36" s="6">
        <f t="shared" si="7"/>
        <v>333.5950966296859</v>
      </c>
      <c r="H36" s="6">
        <f t="shared" si="7"/>
        <v>441.10304931833235</v>
      </c>
      <c r="J36" s="6">
        <f t="shared" si="5"/>
        <v>809.1403646151709</v>
      </c>
      <c r="L36" s="6">
        <f t="shared" si="6"/>
        <v>527.9461701877298</v>
      </c>
      <c r="M36" s="6"/>
      <c r="N36" s="6">
        <f t="shared" si="8"/>
        <v>218.7508830358595</v>
      </c>
      <c r="O36" s="6"/>
      <c r="P36" s="6">
        <f t="shared" si="9"/>
        <v>949.3304757068457</v>
      </c>
      <c r="Q36" s="6"/>
      <c r="R36" s="6">
        <f t="shared" si="10"/>
        <v>1065.1395760188411</v>
      </c>
      <c r="S36" s="6"/>
      <c r="T36" s="6">
        <f t="shared" si="0"/>
        <v>744.4069782538487</v>
      </c>
      <c r="U36" s="6"/>
      <c r="V36" s="6">
        <f t="shared" si="11"/>
        <v>686.0823149761052</v>
      </c>
      <c r="W36" s="6"/>
      <c r="X36" s="6">
        <f t="shared" si="12"/>
        <v>656.8599756153427</v>
      </c>
      <c r="Y36" s="6"/>
      <c r="Z36" s="6">
        <f t="shared" si="13"/>
        <v>694.8550023813897</v>
      </c>
      <c r="AA36" s="6"/>
      <c r="AB36" s="6">
        <f t="shared" si="14"/>
        <v>679.2657643242792</v>
      </c>
      <c r="AC36" s="6"/>
      <c r="AD36" s="6">
        <f t="shared" si="1"/>
        <v>1238.4282946416506</v>
      </c>
      <c r="AE36" s="6"/>
      <c r="AF36" s="6">
        <f t="shared" si="2"/>
        <v>2047.2935006405207</v>
      </c>
      <c r="AG36" s="6"/>
      <c r="AH36" s="6">
        <f t="shared" si="3"/>
        <v>2569.1349430154014</v>
      </c>
      <c r="AI36" s="6"/>
      <c r="AJ36" s="6">
        <f t="shared" si="4"/>
        <v>1951.6189127658577</v>
      </c>
      <c r="AK36" s="6"/>
    </row>
    <row r="37" spans="2:37" ht="12.75">
      <c r="B37" s="2" t="s">
        <v>120</v>
      </c>
      <c r="D37" s="2" t="s">
        <v>12</v>
      </c>
      <c r="F37" s="6">
        <f t="shared" si="7"/>
        <v>1431.8239616892622</v>
      </c>
      <c r="H37" s="6">
        <f t="shared" si="7"/>
        <v>1764.4121972733294</v>
      </c>
      <c r="J37" s="6">
        <f t="shared" si="5"/>
        <v>1266.281813550296</v>
      </c>
      <c r="L37" s="6">
        <f t="shared" si="6"/>
        <v>1487.505990837629</v>
      </c>
      <c r="M37" s="6"/>
      <c r="N37" s="6">
        <f t="shared" si="8"/>
        <v>40916.35834966191</v>
      </c>
      <c r="O37" s="6"/>
      <c r="P37" s="6">
        <f t="shared" si="9"/>
        <v>56096.80083722268</v>
      </c>
      <c r="Q37" s="6"/>
      <c r="R37" s="6">
        <f t="shared" si="10"/>
        <v>74971.19762536047</v>
      </c>
      <c r="S37" s="6"/>
      <c r="T37" s="6">
        <f t="shared" si="0"/>
        <v>57328.11893741501</v>
      </c>
      <c r="U37" s="6"/>
      <c r="V37" s="6">
        <f t="shared" si="11"/>
        <v>29233.07255115578</v>
      </c>
      <c r="W37" s="6"/>
      <c r="X37" s="6">
        <f t="shared" si="12"/>
        <v>28000.454434989788</v>
      </c>
      <c r="Y37" s="6"/>
      <c r="Z37" s="6">
        <f t="shared" si="13"/>
        <v>29577.051746102585</v>
      </c>
      <c r="AA37" s="6"/>
      <c r="AB37" s="6">
        <f t="shared" si="14"/>
        <v>28936.85957741605</v>
      </c>
      <c r="AC37" s="6"/>
      <c r="AD37" s="6">
        <f t="shared" si="1"/>
        <v>71581.25486250696</v>
      </c>
      <c r="AE37" s="6"/>
      <c r="AF37" s="6">
        <f t="shared" si="2"/>
        <v>85861.6674694858</v>
      </c>
      <c r="AG37" s="6"/>
      <c r="AH37" s="6">
        <f t="shared" si="3"/>
        <v>105814.53118501334</v>
      </c>
      <c r="AI37" s="6"/>
      <c r="AJ37" s="6">
        <f t="shared" si="4"/>
        <v>87752.48450566869</v>
      </c>
      <c r="AK37" s="6"/>
    </row>
    <row r="38" spans="2:37" ht="12.75">
      <c r="B38" s="2" t="s">
        <v>98</v>
      </c>
      <c r="D38" s="2" t="s">
        <v>12</v>
      </c>
      <c r="F38" s="6">
        <f t="shared" si="7"/>
        <v>141.69091287549995</v>
      </c>
      <c r="H38" s="6">
        <f t="shared" si="7"/>
        <v>137.6049729938711</v>
      </c>
      <c r="J38" s="6">
        <f t="shared" si="5"/>
        <v>127.54246425289983</v>
      </c>
      <c r="L38" s="6">
        <f t="shared" si="6"/>
        <v>135.6127833740903</v>
      </c>
      <c r="M38" s="6"/>
      <c r="N38" s="6">
        <f t="shared" si="8"/>
        <v>123.2959522565754</v>
      </c>
      <c r="O38" s="6"/>
      <c r="P38" s="6">
        <f t="shared" si="9"/>
        <v>120.3444188901102</v>
      </c>
      <c r="Q38" s="6"/>
      <c r="R38" s="6">
        <f t="shared" si="10"/>
        <v>193.82797434849294</v>
      </c>
      <c r="S38" s="6"/>
      <c r="T38" s="6">
        <f t="shared" si="0"/>
        <v>145.8227818317262</v>
      </c>
      <c r="U38" s="6"/>
      <c r="V38" s="6">
        <f t="shared" si="11"/>
        <v>322.1603913800841</v>
      </c>
      <c r="W38" s="6"/>
      <c r="X38" s="6">
        <f t="shared" si="12"/>
        <v>308.7721345228326</v>
      </c>
      <c r="Y38" s="6"/>
      <c r="Z38" s="6">
        <f t="shared" si="13"/>
        <v>325.9418530907441</v>
      </c>
      <c r="AA38" s="6"/>
      <c r="AB38" s="6">
        <f t="shared" si="14"/>
        <v>318.9581263312202</v>
      </c>
      <c r="AC38" s="6"/>
      <c r="AD38" s="6">
        <f t="shared" si="1"/>
        <v>587.1472565121594</v>
      </c>
      <c r="AE38" s="6"/>
      <c r="AF38" s="6">
        <f t="shared" si="2"/>
        <v>566.7215264068138</v>
      </c>
      <c r="AG38" s="6"/>
      <c r="AH38" s="6">
        <f t="shared" si="3"/>
        <v>647.3122916921368</v>
      </c>
      <c r="AI38" s="6"/>
      <c r="AJ38" s="6">
        <f t="shared" si="4"/>
        <v>600.3936915370367</v>
      </c>
      <c r="AK38" s="6"/>
    </row>
    <row r="39" spans="2:37" ht="12.75">
      <c r="B39" s="2" t="s">
        <v>96</v>
      </c>
      <c r="D39" s="2" t="s">
        <v>12</v>
      </c>
      <c r="F39" s="6">
        <f t="shared" si="7"/>
        <v>8.700319211653504</v>
      </c>
      <c r="H39" s="6">
        <f t="shared" si="7"/>
        <v>20.95239484262078</v>
      </c>
      <c r="J39" s="6">
        <f t="shared" si="5"/>
        <v>36.79988663927755</v>
      </c>
      <c r="L39" s="6">
        <f t="shared" si="6"/>
        <v>22.150866897850616</v>
      </c>
      <c r="M39" s="6"/>
      <c r="N39" s="6">
        <f t="shared" si="8"/>
        <v>196.37863363446488</v>
      </c>
      <c r="O39" s="6"/>
      <c r="P39" s="6">
        <f t="shared" si="9"/>
        <v>335.1424255146894</v>
      </c>
      <c r="Q39" s="6"/>
      <c r="R39" s="6">
        <f t="shared" si="10"/>
        <v>806.3975159215603</v>
      </c>
      <c r="S39" s="6"/>
      <c r="T39" s="6">
        <f t="shared" si="0"/>
        <v>445.97285835690485</v>
      </c>
      <c r="U39" s="6"/>
      <c r="V39" s="6">
        <f t="shared" si="11"/>
        <v>305.75407515239465</v>
      </c>
      <c r="W39" s="6"/>
      <c r="X39" s="6">
        <f t="shared" si="12"/>
        <v>292.94995992771845</v>
      </c>
      <c r="Y39" s="6"/>
      <c r="Z39" s="6">
        <f t="shared" si="13"/>
        <v>309.0276194801444</v>
      </c>
      <c r="AA39" s="6"/>
      <c r="AB39" s="6">
        <f t="shared" si="14"/>
        <v>302.5772181867525</v>
      </c>
      <c r="AC39" s="6"/>
      <c r="AD39" s="6">
        <f t="shared" si="1"/>
        <v>510.83302799851305</v>
      </c>
      <c r="AE39" s="6"/>
      <c r="AF39" s="6">
        <f t="shared" si="2"/>
        <v>649.0447802850288</v>
      </c>
      <c r="AG39" s="6"/>
      <c r="AH39" s="6">
        <f t="shared" si="3"/>
        <v>1152.2250220409821</v>
      </c>
      <c r="AI39" s="6"/>
      <c r="AJ39" s="6">
        <f t="shared" si="4"/>
        <v>770.7009434415079</v>
      </c>
      <c r="AK39" s="6"/>
    </row>
    <row r="40" spans="2:37" ht="12.75">
      <c r="B40" s="2" t="s">
        <v>108</v>
      </c>
      <c r="D40" s="2" t="s">
        <v>12</v>
      </c>
      <c r="F40" s="6">
        <f t="shared" si="7"/>
        <v>1610.8019569004205</v>
      </c>
      <c r="H40" s="6">
        <f t="shared" si="7"/>
        <v>1793.1797874462638</v>
      </c>
      <c r="J40" s="6">
        <f t="shared" si="5"/>
        <v>1567.995169847478</v>
      </c>
      <c r="L40" s="6">
        <f t="shared" si="6"/>
        <v>1657.3256380647208</v>
      </c>
      <c r="M40" s="6"/>
      <c r="N40" s="6">
        <f t="shared" si="8"/>
        <v>6840.936705848701</v>
      </c>
      <c r="O40" s="6"/>
      <c r="P40" s="6">
        <f t="shared" si="9"/>
        <v>8683.017633864129</v>
      </c>
      <c r="Q40" s="6"/>
      <c r="R40" s="6">
        <f t="shared" si="10"/>
        <v>14130.242186584706</v>
      </c>
      <c r="S40" s="6"/>
      <c r="T40" s="6">
        <f t="shared" si="0"/>
        <v>9884.732175432511</v>
      </c>
      <c r="U40" s="6"/>
      <c r="V40" s="6">
        <f t="shared" si="11"/>
        <v>4196.039665506034</v>
      </c>
      <c r="W40" s="6"/>
      <c r="X40" s="6">
        <f t="shared" si="12"/>
        <v>4022.668025848704</v>
      </c>
      <c r="Y40" s="6"/>
      <c r="Z40" s="6">
        <f t="shared" si="13"/>
        <v>4246.84406060731</v>
      </c>
      <c r="AA40" s="6"/>
      <c r="AB40" s="6">
        <f t="shared" si="14"/>
        <v>4155.183917320683</v>
      </c>
      <c r="AC40" s="6"/>
      <c r="AD40" s="6">
        <f t="shared" si="1"/>
        <v>12647.778328255157</v>
      </c>
      <c r="AE40" s="6"/>
      <c r="AF40" s="6">
        <f t="shared" si="2"/>
        <v>14498.865447159096</v>
      </c>
      <c r="AG40" s="6"/>
      <c r="AH40" s="6">
        <f t="shared" si="3"/>
        <v>19945.081417039495</v>
      </c>
      <c r="AI40" s="6"/>
      <c r="AJ40" s="6">
        <f t="shared" si="4"/>
        <v>15697.241730817914</v>
      </c>
      <c r="AK40" s="6"/>
    </row>
    <row r="41" spans="2:37" ht="12.75">
      <c r="B41" s="2" t="s">
        <v>95</v>
      </c>
      <c r="D41" s="2" t="s">
        <v>12</v>
      </c>
      <c r="F41" s="6">
        <f t="shared" si="7"/>
        <v>167.5432899615561</v>
      </c>
      <c r="H41" s="6">
        <f t="shared" si="7"/>
        <v>179.31797874462637</v>
      </c>
      <c r="J41" s="6">
        <f t="shared" si="5"/>
        <v>159.08522422942343</v>
      </c>
      <c r="L41" s="6">
        <f t="shared" si="6"/>
        <v>168.6488309785353</v>
      </c>
      <c r="M41" s="6"/>
      <c r="N41" s="6">
        <f t="shared" si="8"/>
        <v>1342.3349640836832</v>
      </c>
      <c r="O41" s="6"/>
      <c r="P41" s="6">
        <f t="shared" si="9"/>
        <v>1956.1961317595603</v>
      </c>
      <c r="Q41" s="6"/>
      <c r="R41" s="6">
        <f t="shared" si="10"/>
        <v>4534.8431734364385</v>
      </c>
      <c r="S41" s="6"/>
      <c r="T41" s="6">
        <f t="shared" si="0"/>
        <v>2611.124756426561</v>
      </c>
      <c r="U41" s="6"/>
      <c r="V41" s="6">
        <f t="shared" si="11"/>
        <v>2296.8842718765263</v>
      </c>
      <c r="W41" s="6"/>
      <c r="X41" s="6">
        <f t="shared" si="12"/>
        <v>2200.720648229506</v>
      </c>
      <c r="Y41" s="6"/>
      <c r="Z41" s="6">
        <f t="shared" si="13"/>
        <v>2322.2785605904346</v>
      </c>
      <c r="AA41" s="6"/>
      <c r="AB41" s="6">
        <f t="shared" si="14"/>
        <v>2273.294493565489</v>
      </c>
      <c r="AC41" s="6"/>
      <c r="AD41" s="6">
        <f t="shared" si="1"/>
        <v>3806.7625259217657</v>
      </c>
      <c r="AE41" s="6"/>
      <c r="AF41" s="6">
        <f t="shared" si="2"/>
        <v>4336.234758733693</v>
      </c>
      <c r="AG41" s="6"/>
      <c r="AH41" s="6">
        <f t="shared" si="3"/>
        <v>7016.206958256296</v>
      </c>
      <c r="AI41" s="6"/>
      <c r="AJ41" s="6">
        <f t="shared" si="4"/>
        <v>5053.0680809705855</v>
      </c>
      <c r="AK41" s="6"/>
    </row>
    <row r="42" spans="2:37" ht="12.75">
      <c r="B42" s="2" t="s">
        <v>94</v>
      </c>
      <c r="D42" s="2" t="s">
        <v>12</v>
      </c>
      <c r="E42" s="3">
        <v>100</v>
      </c>
      <c r="F42" s="6">
        <f t="shared" si="7"/>
        <v>1.740063842330701</v>
      </c>
      <c r="G42" s="3">
        <v>100</v>
      </c>
      <c r="H42" s="6">
        <f t="shared" si="7"/>
        <v>0.8390547133772626</v>
      </c>
      <c r="I42" s="3">
        <v>100</v>
      </c>
      <c r="J42" s="6">
        <f t="shared" si="5"/>
        <v>0.7999975356364687</v>
      </c>
      <c r="K42" s="3">
        <v>100</v>
      </c>
      <c r="L42" s="6">
        <f t="shared" si="6"/>
        <v>1.1263720304481442</v>
      </c>
      <c r="M42" s="10">
        <v>100</v>
      </c>
      <c r="N42" s="6">
        <f t="shared" si="8"/>
        <v>0.6860823149761051</v>
      </c>
      <c r="O42" s="10">
        <v>100</v>
      </c>
      <c r="P42" s="6">
        <f t="shared" si="9"/>
        <v>0.7431627461341467</v>
      </c>
      <c r="Q42" s="10">
        <v>100</v>
      </c>
      <c r="R42" s="6">
        <f t="shared" si="10"/>
        <v>0.7177120748281461</v>
      </c>
      <c r="S42" s="10">
        <v>100</v>
      </c>
      <c r="T42" s="6">
        <f>AVERAGE(R42,P42,N42)</f>
        <v>0.7156523786461326</v>
      </c>
      <c r="U42" s="6"/>
      <c r="V42" s="6">
        <f t="shared" si="11"/>
        <v>90.9804808990052</v>
      </c>
      <c r="W42" s="6"/>
      <c r="X42" s="6">
        <f t="shared" si="12"/>
        <v>87.26169019123532</v>
      </c>
      <c r="Y42" s="6"/>
      <c r="Z42" s="6">
        <f t="shared" si="13"/>
        <v>91.8854312359601</v>
      </c>
      <c r="AA42" s="6"/>
      <c r="AB42" s="6">
        <f t="shared" si="14"/>
        <v>90.04253410873355</v>
      </c>
      <c r="AC42" s="6">
        <f>SUM(F42,N42)/AD42*100</f>
        <v>2.597402597402598</v>
      </c>
      <c r="AD42" s="6">
        <f t="shared" si="1"/>
        <v>93.406627056312</v>
      </c>
      <c r="AE42" s="6">
        <f>SUM(H42,P42)/AF42*100</f>
        <v>1.7808958445763623</v>
      </c>
      <c r="AF42" s="6">
        <f t="shared" si="2"/>
        <v>88.84390765074673</v>
      </c>
      <c r="AG42" s="6">
        <f>SUM(J42,R42)/AH42*100</f>
        <v>1.6249021143304625</v>
      </c>
      <c r="AH42" s="6">
        <f t="shared" si="3"/>
        <v>93.4031408464247</v>
      </c>
      <c r="AI42" s="6">
        <f>SUM(L42,T42)/AJ42*100</f>
        <v>2.0047159596863926</v>
      </c>
      <c r="AJ42" s="6">
        <f t="shared" si="4"/>
        <v>91.88455851782781</v>
      </c>
      <c r="AK42" s="6"/>
    </row>
    <row r="43" spans="2:37" ht="12.75">
      <c r="B43" s="2" t="s">
        <v>121</v>
      </c>
      <c r="D43" s="2" t="s">
        <v>12</v>
      </c>
      <c r="E43" s="3">
        <v>100</v>
      </c>
      <c r="F43" s="6">
        <f t="shared" si="7"/>
        <v>139.70226848426486</v>
      </c>
      <c r="G43" s="3">
        <v>100</v>
      </c>
      <c r="H43" s="6">
        <f t="shared" si="7"/>
        <v>146.71470988196708</v>
      </c>
      <c r="I43" s="3">
        <v>100</v>
      </c>
      <c r="J43" s="6">
        <f t="shared" si="5"/>
        <v>132.57102019118625</v>
      </c>
      <c r="K43" s="3">
        <v>100</v>
      </c>
      <c r="L43" s="6">
        <f t="shared" si="6"/>
        <v>139.66266618580607</v>
      </c>
      <c r="M43" s="6"/>
      <c r="N43" s="6">
        <f t="shared" si="8"/>
        <v>502.13270878685955</v>
      </c>
      <c r="O43" s="6"/>
      <c r="P43" s="6">
        <f t="shared" si="9"/>
        <v>656.8599756153427</v>
      </c>
      <c r="Q43" s="6"/>
      <c r="R43" s="6">
        <f t="shared" si="10"/>
        <v>1165.7106947845687</v>
      </c>
      <c r="S43" s="6"/>
      <c r="T43" s="6">
        <f t="shared" si="0"/>
        <v>774.9011263955903</v>
      </c>
      <c r="U43" s="6"/>
      <c r="V43" s="6">
        <f t="shared" si="11"/>
        <v>363.4247624982121</v>
      </c>
      <c r="W43" s="6"/>
      <c r="X43" s="6">
        <f t="shared" si="12"/>
        <v>348.0878410925101</v>
      </c>
      <c r="Y43" s="6"/>
      <c r="Z43" s="6">
        <f t="shared" si="13"/>
        <v>367.5417249438404</v>
      </c>
      <c r="AA43" s="6"/>
      <c r="AB43" s="6">
        <f t="shared" si="14"/>
        <v>359.6847761781875</v>
      </c>
      <c r="AC43" s="6">
        <f>SUM(F43)/AD43*100</f>
        <v>13.897131552917902</v>
      </c>
      <c r="AD43" s="6">
        <f t="shared" si="1"/>
        <v>1005.2597397693365</v>
      </c>
      <c r="AE43" s="6">
        <f>SUM(H43)/AF43*100</f>
        <v>12.73938384679434</v>
      </c>
      <c r="AF43" s="6">
        <f t="shared" si="2"/>
        <v>1151.66252658982</v>
      </c>
      <c r="AG43" s="6">
        <f>SUM(J43)/AH43*100</f>
        <v>7.9582875960483</v>
      </c>
      <c r="AH43" s="6">
        <f t="shared" si="3"/>
        <v>1665.8234399195953</v>
      </c>
      <c r="AI43" s="6">
        <f>SUM(L43)/AJ43*100</f>
        <v>10.960394197009817</v>
      </c>
      <c r="AJ43" s="6">
        <f t="shared" si="4"/>
        <v>1274.2485687595838</v>
      </c>
      <c r="AK43" s="6"/>
    </row>
    <row r="44" spans="2:37" ht="12.75">
      <c r="B44" s="2" t="s">
        <v>122</v>
      </c>
      <c r="D44" s="2" t="s">
        <v>12</v>
      </c>
      <c r="E44" s="3">
        <v>100</v>
      </c>
      <c r="F44" s="6">
        <f t="shared" si="7"/>
        <v>112.35840810478238</v>
      </c>
      <c r="G44" s="3">
        <v>100</v>
      </c>
      <c r="H44" s="6">
        <f t="shared" si="7"/>
        <v>117.46765987281678</v>
      </c>
      <c r="I44" s="3">
        <v>100</v>
      </c>
      <c r="J44" s="6">
        <f t="shared" si="5"/>
        <v>106.5139576018841</v>
      </c>
      <c r="K44" s="3">
        <v>100</v>
      </c>
      <c r="L44" s="6">
        <f t="shared" si="6"/>
        <v>112.11334185982776</v>
      </c>
      <c r="M44" s="6"/>
      <c r="N44" s="6">
        <f t="shared" si="8"/>
        <v>502.13270878685955</v>
      </c>
      <c r="O44" s="6"/>
      <c r="P44" s="6">
        <f t="shared" si="9"/>
        <v>819.8763199286393</v>
      </c>
      <c r="Q44" s="6"/>
      <c r="R44" s="6">
        <f t="shared" si="10"/>
        <v>1842.2800392085535</v>
      </c>
      <c r="S44" s="6"/>
      <c r="T44" s="6">
        <f t="shared" si="0"/>
        <v>1054.7630226413507</v>
      </c>
      <c r="U44" s="6"/>
      <c r="V44" s="6">
        <f t="shared" si="11"/>
        <v>710.9403698665435</v>
      </c>
      <c r="W44" s="6"/>
      <c r="X44" s="6">
        <f t="shared" si="12"/>
        <v>680.8329674261215</v>
      </c>
      <c r="Y44" s="6"/>
      <c r="Z44" s="6">
        <f t="shared" si="13"/>
        <v>717.712074828146</v>
      </c>
      <c r="AA44" s="6"/>
      <c r="AB44" s="6">
        <f t="shared" si="14"/>
        <v>703.1618040402703</v>
      </c>
      <c r="AC44" s="6">
        <f>SUM(F44)/AD44*100</f>
        <v>8.477119279819952</v>
      </c>
      <c r="AD44" s="6">
        <f t="shared" si="1"/>
        <v>1325.4314867581857</v>
      </c>
      <c r="AE44" s="6">
        <f>SUM(H44)/AF44*100</f>
        <v>7.259259259259261</v>
      </c>
      <c r="AF44" s="6">
        <f t="shared" si="2"/>
        <v>1618.1769472275776</v>
      </c>
      <c r="AG44" s="6">
        <f>SUM(J44)/AH44*100</f>
        <v>3.994513972226984</v>
      </c>
      <c r="AH44" s="6">
        <f t="shared" si="3"/>
        <v>2666.5060716385838</v>
      </c>
      <c r="AI44" s="6">
        <f>SUM(L44)/AJ44*100</f>
        <v>5.995243506033432</v>
      </c>
      <c r="AJ44" s="6">
        <f t="shared" si="4"/>
        <v>1870.038168541449</v>
      </c>
      <c r="AK44" s="6"/>
    </row>
    <row r="45" spans="6:37" ht="12.75">
      <c r="F45" s="34"/>
      <c r="G45" s="34"/>
      <c r="H45" s="34"/>
      <c r="I45" s="34"/>
      <c r="J45" s="34"/>
      <c r="K45" s="3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12.75">
      <c r="B46" s="2" t="s">
        <v>5</v>
      </c>
      <c r="D46" s="2" t="s">
        <v>12</v>
      </c>
      <c r="F46" s="16">
        <f>F41+F39</f>
        <v>176.2436091732096</v>
      </c>
      <c r="G46" s="16"/>
      <c r="H46" s="16">
        <f>H41+H39</f>
        <v>200.27037358724715</v>
      </c>
      <c r="I46" s="16"/>
      <c r="J46" s="16">
        <f>J41+J39</f>
        <v>195.885110868701</v>
      </c>
      <c r="K46" s="34"/>
      <c r="L46" s="6">
        <f>AVERAGE(J46,H46,F46)</f>
        <v>190.79969787638592</v>
      </c>
      <c r="M46" s="6"/>
      <c r="N46" s="16">
        <f>N41+N39</f>
        <v>1538.713597718148</v>
      </c>
      <c r="O46" s="6"/>
      <c r="P46" s="16">
        <f>P41+P39</f>
        <v>2291.33855727425</v>
      </c>
      <c r="Q46" s="6"/>
      <c r="R46" s="16">
        <f>R41+R39</f>
        <v>5341.240689357999</v>
      </c>
      <c r="S46" s="6"/>
      <c r="T46" s="6">
        <f>AVERAGE(R46,P46,N46)</f>
        <v>3057.097614783466</v>
      </c>
      <c r="U46" s="6"/>
      <c r="V46" s="16">
        <f>V41+V39</f>
        <v>2602.638347028921</v>
      </c>
      <c r="W46" s="6"/>
      <c r="X46" s="16">
        <f>X41+X39</f>
        <v>2493.6706081572243</v>
      </c>
      <c r="Y46" s="6"/>
      <c r="Z46" s="16">
        <f>Z41+Z39</f>
        <v>2631.306180070579</v>
      </c>
      <c r="AA46" s="6"/>
      <c r="AB46" s="6">
        <f>AVERAGE(Z46,X46,V46)</f>
        <v>2575.8717117522415</v>
      </c>
      <c r="AC46" s="6"/>
      <c r="AD46" s="6">
        <f aca="true" t="shared" si="15" ref="AD46:AJ47">SUM(V46,N46,F46)</f>
        <v>4317.595553920279</v>
      </c>
      <c r="AE46" s="6"/>
      <c r="AF46" s="6">
        <f t="shared" si="15"/>
        <v>4985.279539018722</v>
      </c>
      <c r="AG46" s="6"/>
      <c r="AH46" s="6">
        <f t="shared" si="15"/>
        <v>8168.43198029728</v>
      </c>
      <c r="AI46" s="6"/>
      <c r="AJ46" s="6">
        <f t="shared" si="15"/>
        <v>5823.769024412093</v>
      </c>
      <c r="AK46" s="6"/>
    </row>
    <row r="47" spans="2:37" ht="12.75">
      <c r="B47" s="2" t="s">
        <v>6</v>
      </c>
      <c r="D47" s="2" t="s">
        <v>12</v>
      </c>
      <c r="F47" s="16">
        <f>F36+F38+F40</f>
        <v>2086.0879664056065</v>
      </c>
      <c r="G47" s="16"/>
      <c r="H47" s="16">
        <f>H36+H38+H40</f>
        <v>2371.8878097584675</v>
      </c>
      <c r="I47" s="16"/>
      <c r="J47" s="16">
        <f>J36+J38+J40</f>
        <v>2504.6779987155487</v>
      </c>
      <c r="K47" s="34"/>
      <c r="L47" s="6">
        <f>AVERAGE(J47,H47,F47)</f>
        <v>2320.884591626541</v>
      </c>
      <c r="M47" s="6"/>
      <c r="N47" s="16">
        <f>N36+N38+N40</f>
        <v>7182.983541141136</v>
      </c>
      <c r="O47" s="6"/>
      <c r="P47" s="16">
        <f>P36+P38+P40</f>
        <v>9752.692528461084</v>
      </c>
      <c r="Q47" s="6"/>
      <c r="R47" s="16">
        <f>R36+R38+R40</f>
        <v>15389.20973695204</v>
      </c>
      <c r="S47" s="6"/>
      <c r="T47" s="6">
        <f>AVERAGE(R47,P47,N47)</f>
        <v>10774.961935518088</v>
      </c>
      <c r="U47" s="6"/>
      <c r="V47" s="16">
        <f>V36+V38+V40</f>
        <v>5204.282371862223</v>
      </c>
      <c r="W47" s="6"/>
      <c r="X47" s="16">
        <f>X36+X38+X40</f>
        <v>4988.3001359868795</v>
      </c>
      <c r="Y47" s="6"/>
      <c r="Z47" s="16">
        <f>Z36+Z38+Z40</f>
        <v>5267.640916079444</v>
      </c>
      <c r="AA47" s="6"/>
      <c r="AB47" s="6">
        <f>AVERAGE(Z47,X47,V47)</f>
        <v>5153.407807976182</v>
      </c>
      <c r="AC47" s="6"/>
      <c r="AD47" s="6">
        <f t="shared" si="15"/>
        <v>14473.353879408965</v>
      </c>
      <c r="AE47" s="6"/>
      <c r="AF47" s="6">
        <f t="shared" si="15"/>
        <v>17112.88047420643</v>
      </c>
      <c r="AG47" s="6"/>
      <c r="AH47" s="6">
        <f t="shared" si="15"/>
        <v>23161.528651747034</v>
      </c>
      <c r="AI47" s="6"/>
      <c r="AJ47" s="6">
        <f t="shared" si="15"/>
        <v>18249.25433512081</v>
      </c>
      <c r="AK47" s="6"/>
    </row>
    <row r="49" spans="2:3" ht="12.75">
      <c r="B49" s="1"/>
      <c r="C49" s="1"/>
    </row>
    <row r="50" spans="2:4" ht="12.75">
      <c r="B50" s="1"/>
      <c r="C50" s="1"/>
      <c r="D50" s="1"/>
    </row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 customHeight="1"/>
    <row r="64" s="33" customFormat="1" ht="12.75"/>
    <row r="65" s="33" customFormat="1" ht="12.75"/>
    <row r="66" s="33" customFormat="1" ht="12.75" customHeight="1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8" sqref="C8"/>
    </sheetView>
  </sheetViews>
  <sheetFormatPr defaultColWidth="9.140625" defaultRowHeight="12.75"/>
  <cols>
    <col min="1" max="1" width="32.7109375" style="2" customWidth="1"/>
    <col min="2" max="2" width="11.7109375" style="2" customWidth="1"/>
    <col min="3" max="3" width="12.28125" style="2" customWidth="1"/>
    <col min="4" max="4" width="11.140625" style="2" customWidth="1"/>
    <col min="5" max="5" width="8.28125" style="2" customWidth="1"/>
    <col min="6" max="16384" width="11.421875" style="2" customWidth="1"/>
  </cols>
  <sheetData>
    <row r="1" ht="12.75">
      <c r="A1" s="1" t="s">
        <v>41</v>
      </c>
    </row>
    <row r="3" spans="2:5" ht="12.75">
      <c r="B3" s="2" t="s">
        <v>32</v>
      </c>
      <c r="C3" s="3" t="s">
        <v>33</v>
      </c>
      <c r="D3" s="3"/>
      <c r="E3" s="3"/>
    </row>
    <row r="4" spans="1:5" ht="12.75">
      <c r="A4" s="1"/>
      <c r="C4" s="3"/>
      <c r="D4" s="3"/>
      <c r="E4" s="3"/>
    </row>
    <row r="5" spans="1:5" ht="12.75">
      <c r="A5" s="1" t="str">
        <f>feed!B5</f>
        <v>1012C1</v>
      </c>
      <c r="E5" s="3"/>
    </row>
    <row r="6" spans="1:5" ht="12.75">
      <c r="A6" s="1"/>
      <c r="E6" s="3"/>
    </row>
    <row r="7" spans="1:3" ht="12.75">
      <c r="A7" s="2" t="s">
        <v>78</v>
      </c>
      <c r="B7" s="2" t="s">
        <v>53</v>
      </c>
      <c r="C7" s="6">
        <v>163.8</v>
      </c>
    </row>
    <row r="8" spans="1:3" ht="12.75">
      <c r="A8" s="2" t="s">
        <v>75</v>
      </c>
      <c r="B8" s="2" t="s">
        <v>42</v>
      </c>
      <c r="C8" s="2">
        <v>1351</v>
      </c>
    </row>
    <row r="9" spans="1:3" ht="12.75">
      <c r="A9" s="2" t="s">
        <v>76</v>
      </c>
      <c r="B9" s="2" t="s">
        <v>42</v>
      </c>
      <c r="C9" s="2">
        <v>375</v>
      </c>
    </row>
    <row r="10" spans="1:3" ht="12.75">
      <c r="A10" s="2" t="s">
        <v>77</v>
      </c>
      <c r="B10" s="2" t="s">
        <v>45</v>
      </c>
      <c r="C10" s="2">
        <v>9.2</v>
      </c>
    </row>
    <row r="11" spans="1:3" ht="12.75">
      <c r="A11" s="2" t="s">
        <v>79</v>
      </c>
      <c r="B11" s="2" t="s">
        <v>52</v>
      </c>
      <c r="C11" s="2">
        <v>2102</v>
      </c>
    </row>
    <row r="13" spans="1:3" ht="12.75">
      <c r="A13" s="1" t="s">
        <v>118</v>
      </c>
      <c r="C13" s="3" t="s">
        <v>33</v>
      </c>
    </row>
    <row r="14" ht="12.75">
      <c r="A14" s="1"/>
    </row>
    <row r="15" spans="1:3" ht="12.75">
      <c r="A15" s="2" t="s">
        <v>78</v>
      </c>
      <c r="B15" s="2" t="s">
        <v>53</v>
      </c>
      <c r="C15" s="5">
        <v>103.1</v>
      </c>
    </row>
    <row r="16" spans="1:3" ht="12.75">
      <c r="A16" s="2" t="s">
        <v>80</v>
      </c>
      <c r="B16" s="2" t="s">
        <v>42</v>
      </c>
      <c r="C16" s="7">
        <v>1025</v>
      </c>
    </row>
    <row r="17" spans="1:3" ht="12.75">
      <c r="A17" s="2" t="s">
        <v>79</v>
      </c>
      <c r="B17" s="2" t="s">
        <v>52</v>
      </c>
      <c r="C17" s="2">
        <v>1728</v>
      </c>
    </row>
    <row r="31" ht="12.75">
      <c r="C31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2004-02-25T00:11:43Z</cp:lastPrinted>
  <dcterms:created xsi:type="dcterms:W3CDTF">2000-02-25T16:38:56Z</dcterms:created>
  <dcterms:modified xsi:type="dcterms:W3CDTF">2004-02-25T00:11:48Z</dcterms:modified>
  <cp:category/>
  <cp:version/>
  <cp:contentType/>
  <cp:contentStatus/>
</cp:coreProperties>
</file>