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15" yWindow="577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<sst xmlns="http://schemas.openxmlformats.org/spreadsheetml/2006/main" count="379" uniqueCount="140">
  <si>
    <t>Stack Gas Emissions</t>
  </si>
  <si>
    <t>HW</t>
  </si>
  <si>
    <t>PM</t>
  </si>
  <si>
    <t>HCl</t>
  </si>
  <si>
    <t>Cl2</t>
  </si>
  <si>
    <t>SVM</t>
  </si>
  <si>
    <t>LVM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</si>
  <si>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</si>
  <si>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</si>
  <si>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</si>
  <si>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</si>
  <si>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</si>
  <si>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</si>
  <si>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</si>
  <si>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</si>
  <si>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</si>
  <si>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</si>
  <si>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</si>
  <si>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</si>
  <si>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</si>
  <si>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</si>
  <si>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</si>
  <si>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</si>
  <si>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</si>
  <si>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</si>
  <si>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</si>
  <si>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>Permitting Status</t>
  </si>
  <si>
    <t xml:space="preserve">     Report Name/Date</t>
  </si>
  <si>
    <t xml:space="preserve">     Report Prepar</t>
  </si>
  <si>
    <t xml:space="preserve">     Testing Firm</t>
  </si>
  <si>
    <t>METCO</t>
  </si>
  <si>
    <t xml:space="preserve">     Testing Dates</t>
  </si>
  <si>
    <t xml:space="preserve">     Content</t>
  </si>
  <si>
    <t>Units</t>
  </si>
  <si>
    <t>Cond Avg</t>
  </si>
  <si>
    <t>y</t>
  </si>
  <si>
    <t>n</t>
  </si>
  <si>
    <t>nd</t>
  </si>
  <si>
    <t xml:space="preserve">   Stack Gas Flowrate</t>
  </si>
  <si>
    <t xml:space="preserve">   Temperature</t>
  </si>
  <si>
    <t>Feedstreams</t>
  </si>
  <si>
    <t>g/hr</t>
  </si>
  <si>
    <t>Chlorine</t>
  </si>
  <si>
    <t>Stack Gas Flowrate</t>
  </si>
  <si>
    <t>Process Information</t>
  </si>
  <si>
    <t>Avg</t>
  </si>
  <si>
    <t>Liq</t>
  </si>
  <si>
    <t>Huntsman Polymers</t>
  </si>
  <si>
    <t>Odessa</t>
  </si>
  <si>
    <t>Adjusted Tier I for metals and chlorine/chloride feed limits</t>
  </si>
  <si>
    <t>Franklin Engineering Group, Inc.</t>
  </si>
  <si>
    <t>Liquid ignitable (D001) and reactive (D003) wastes, plus spent non-halogenated solvents (F003 and D018) and process gas</t>
  </si>
  <si>
    <t>Estimated Firing Rate</t>
  </si>
  <si>
    <t>Recertification of Compliance Test Report - Huntsman Polymers C Boiler; Jan, 1999</t>
  </si>
  <si>
    <t>CoC; maximum feedrate</t>
  </si>
  <si>
    <t xml:space="preserve">PM, HCl/Cl2, CO emissions; metals, chlorine, and ash in feeds </t>
  </si>
  <si>
    <t>TX</t>
  </si>
  <si>
    <t>Henry Vogt Model B-16700 steam boiler, 300 MM Btu/hr at 210,000 lb/hr steam @ 600 psig and 750 F</t>
  </si>
  <si>
    <t>None</t>
  </si>
  <si>
    <t>Hazardous Wastes</t>
  </si>
  <si>
    <t>Haz Waste Description</t>
  </si>
  <si>
    <t>Supplemental Fuel</t>
  </si>
  <si>
    <t>1007C1</t>
  </si>
  <si>
    <t>Process Gas</t>
  </si>
  <si>
    <t>C-Boiler</t>
  </si>
  <si>
    <t>Total</t>
  </si>
  <si>
    <t>Liq waste</t>
  </si>
  <si>
    <t>Rec Heptane</t>
  </si>
  <si>
    <t>Combustion Chamber Temp</t>
  </si>
  <si>
    <t>Capacity (MMBtu/hr)</t>
  </si>
  <si>
    <t>Feedrate MTEC Calculations</t>
  </si>
  <si>
    <t>7% O2</t>
  </si>
  <si>
    <t>Phase II ID No.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</si>
  <si>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</si>
  <si>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</si>
  <si>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</si>
  <si>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</si>
  <si>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</si>
  <si>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</si>
  <si>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</si>
  <si>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</si>
  <si>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</si>
  <si>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</si>
  <si>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</si>
  <si>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Source Description</t>
  </si>
  <si>
    <t xml:space="preserve">     Cond Description</t>
  </si>
  <si>
    <t>TXD980626014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</si>
  <si>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</si>
  <si>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</si>
  <si>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</si>
  <si>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</si>
  <si>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</si>
  <si>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</si>
  <si>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</si>
  <si>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</si>
  <si>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(Max feedrates)</t>
  </si>
  <si>
    <t xml:space="preserve">   O2</t>
  </si>
  <si>
    <t xml:space="preserve">   Moisture</t>
  </si>
  <si>
    <t>Total Chlorine</t>
  </si>
  <si>
    <t>CO (RA)</t>
  </si>
  <si>
    <t>CO (MHRA)</t>
  </si>
  <si>
    <t>Sampling Train</t>
  </si>
  <si>
    <t>*</t>
  </si>
  <si>
    <t>Thermal Feedrate</t>
  </si>
  <si>
    <t>Feed Rate</t>
  </si>
  <si>
    <t>Feedstream Description</t>
  </si>
  <si>
    <t>HWC Burn Status (Date if Terminated)</t>
  </si>
  <si>
    <t xml:space="preserve">     Cond Dates</t>
  </si>
  <si>
    <t>Liquid-fired boiler</t>
  </si>
  <si>
    <t>Cond Description</t>
  </si>
  <si>
    <t>R1</t>
  </si>
  <si>
    <t>R2</t>
  </si>
  <si>
    <t>R3</t>
  </si>
  <si>
    <t>Feedstream Number</t>
  </si>
  <si>
    <t>Feed Class</t>
  </si>
  <si>
    <t>Liq HW</t>
  </si>
  <si>
    <t>Liq non-HW</t>
  </si>
  <si>
    <t>E1</t>
  </si>
  <si>
    <t>Misc Fuel</t>
  </si>
  <si>
    <t>Combustor Class</t>
  </si>
  <si>
    <t>Number of Sister Facilities</t>
  </si>
  <si>
    <t>APCS Detailed Acronym</t>
  </si>
  <si>
    <t>APCS General Class</t>
  </si>
  <si>
    <t>Combustor Type</t>
  </si>
  <si>
    <t>source</t>
  </si>
  <si>
    <t>cond</t>
  </si>
  <si>
    <t>emiss</t>
  </si>
  <si>
    <t>feed</t>
  </si>
  <si>
    <t>process</t>
  </si>
  <si>
    <t>Liquid injection</t>
  </si>
  <si>
    <t>MMBtu/hr</t>
  </si>
  <si>
    <t>F1</t>
  </si>
  <si>
    <t>F2</t>
  </si>
  <si>
    <t>F3</t>
  </si>
  <si>
    <t>F4</t>
  </si>
  <si>
    <t>F5</t>
  </si>
  <si>
    <t>Feed Class 2</t>
  </si>
  <si>
    <t>Non-HW</t>
  </si>
  <si>
    <t>MF</t>
  </si>
  <si>
    <t>PM, HCl/Cl2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</si>
</sst>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0.000000"/>
    <numFmt numFmtId="170" formatCode="0.E+00"/>
    <numFmt numFmtId="171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171" fontId="5" fillId="0" borderId="0" xfId="0" applyNumberFormat="1" applyFont="1" applyAlignment="1">
      <alignment horizontal="left" vertical="top" wrapText="1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1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D26" sqref="D26"/>
    </sheetView>
  </sheetViews>
  <sheetFormatPr defaultColWidth="9.140625" defaultRowHeight="12.75"/>
  <sheetData>
    <row r="1" ht="12.75">
      <c r="A1" t="s">
        <v>124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6"/>
  <sheetViews>
    <sheetView workbookViewId="0" topLeftCell="B11">
      <selection activeCell="C20" sqref="C20"/>
    </sheetView>
  </sheetViews>
  <sheetFormatPr defaultColWidth="9.140625" defaultRowHeight="12.75"/>
  <cols>
    <col min="1" max="1" width="9.140625" style="2" hidden="1" customWidth="1"/>
    <col min="2" max="2" width="24.421875" style="2" customWidth="1"/>
    <col min="3" max="3" width="59.421875" style="2" customWidth="1"/>
    <col min="4" max="4" width="9.00390625" style="2" customWidth="1"/>
    <col min="5" max="16384" width="11.421875" style="2" customWidth="1"/>
  </cols>
  <sheetData>
    <row r="1" ht="12.75">
      <c r="B1" s="1" t="s">
        <v>84</v>
      </c>
    </row>
    <row r="3" spans="2:3" ht="12.75">
      <c r="B3" s="2" t="s">
        <v>72</v>
      </c>
      <c r="C3" s="3">
        <v>1007</v>
      </c>
    </row>
    <row r="4" spans="2:3" ht="12.75">
      <c r="B4" s="2" t="s">
        <v>17</v>
      </c>
      <c r="C4" s="2" t="s">
        <v>86</v>
      </c>
    </row>
    <row r="5" spans="2:3" ht="12.75">
      <c r="B5" s="2" t="s">
        <v>18</v>
      </c>
      <c r="C5" s="2" t="s">
        <v>47</v>
      </c>
    </row>
    <row r="6" ht="12.75">
      <c r="B6" s="2" t="s">
        <v>19</v>
      </c>
    </row>
    <row r="7" spans="2:3" ht="12.75">
      <c r="B7" s="2" t="s">
        <v>88</v>
      </c>
      <c r="C7" s="2" t="s">
        <v>48</v>
      </c>
    </row>
    <row r="8" spans="2:3" ht="12.75">
      <c r="B8" s="2" t="s">
        <v>89</v>
      </c>
      <c r="C8" s="2" t="s">
        <v>56</v>
      </c>
    </row>
    <row r="9" spans="2:3" ht="12.75">
      <c r="B9" s="2" t="s">
        <v>20</v>
      </c>
      <c r="C9" s="2" t="s">
        <v>64</v>
      </c>
    </row>
    <row r="10" spans="2:3" ht="12.75">
      <c r="B10" s="2" t="s">
        <v>21</v>
      </c>
      <c r="C10" s="2" t="s">
        <v>58</v>
      </c>
    </row>
    <row r="11" spans="2:3" ht="12.75">
      <c r="B11" s="2" t="s">
        <v>120</v>
      </c>
      <c r="C11" s="3">
        <v>0</v>
      </c>
    </row>
    <row r="12" spans="2:3" ht="12.75">
      <c r="B12" s="2" t="s">
        <v>119</v>
      </c>
      <c r="C12" s="2" t="s">
        <v>108</v>
      </c>
    </row>
    <row r="13" spans="2:3" ht="12.75">
      <c r="B13" s="2" t="s">
        <v>123</v>
      </c>
      <c r="C13" s="2" t="s">
        <v>129</v>
      </c>
    </row>
    <row r="14" spans="2:3" s="4" customFormat="1" ht="25.5">
      <c r="B14" s="4" t="s">
        <v>22</v>
      </c>
      <c r="C14" s="4" t="s">
        <v>57</v>
      </c>
    </row>
    <row r="15" spans="2:3" s="4" customFormat="1" ht="12.75">
      <c r="B15" s="4" t="s">
        <v>69</v>
      </c>
      <c r="C15" s="5">
        <v>300</v>
      </c>
    </row>
    <row r="16" spans="2:3" s="4" customFormat="1" ht="12.75">
      <c r="B16" s="4" t="s">
        <v>87</v>
      </c>
      <c r="C16" s="5"/>
    </row>
    <row r="17" spans="2:3" s="4" customFormat="1" ht="12.75">
      <c r="B17" s="2" t="s">
        <v>121</v>
      </c>
      <c r="C17" s="4" t="s">
        <v>58</v>
      </c>
    </row>
    <row r="18" s="4" customFormat="1" ht="12.75">
      <c r="B18" s="2" t="s">
        <v>122</v>
      </c>
    </row>
    <row r="19" s="4" customFormat="1" ht="12.75">
      <c r="B19" s="4" t="s">
        <v>23</v>
      </c>
    </row>
    <row r="20" spans="2:3" s="4" customFormat="1" ht="12.75">
      <c r="B20" s="4" t="s">
        <v>59</v>
      </c>
      <c r="C20" s="4" t="s">
        <v>46</v>
      </c>
    </row>
    <row r="21" spans="2:3" s="4" customFormat="1" ht="25.5">
      <c r="B21" s="4" t="s">
        <v>60</v>
      </c>
      <c r="C21" s="4" t="s">
        <v>51</v>
      </c>
    </row>
    <row r="22" spans="2:3" s="4" customFormat="1" ht="12.75">
      <c r="B22" s="4" t="s">
        <v>61</v>
      </c>
      <c r="C22" s="4" t="s">
        <v>24</v>
      </c>
    </row>
    <row r="23" s="4" customFormat="1" ht="12.75" customHeight="1"/>
    <row r="24" s="4" customFormat="1" ht="12.75">
      <c r="B24" s="4" t="s">
        <v>25</v>
      </c>
    </row>
    <row r="25" spans="2:3" s="4" customFormat="1" ht="12.75">
      <c r="B25" s="4" t="s">
        <v>90</v>
      </c>
      <c r="C25" s="5">
        <v>5.5</v>
      </c>
    </row>
    <row r="26" spans="2:3" s="4" customFormat="1" ht="12.75">
      <c r="B26" s="4" t="s">
        <v>91</v>
      </c>
      <c r="C26" s="6">
        <v>50.6</v>
      </c>
    </row>
    <row r="27" s="4" customFormat="1" ht="12.75">
      <c r="B27" s="4" t="s">
        <v>92</v>
      </c>
    </row>
    <row r="28" spans="2:3" s="4" customFormat="1" ht="12.75">
      <c r="B28" s="4" t="s">
        <v>93</v>
      </c>
      <c r="C28" s="5"/>
    </row>
    <row r="29" s="4" customFormat="1" ht="12.75" customHeight="1"/>
    <row r="30" spans="2:3" s="4" customFormat="1" ht="12.75">
      <c r="B30" s="4" t="s">
        <v>26</v>
      </c>
      <c r="C30" s="4" t="s">
        <v>49</v>
      </c>
    </row>
    <row r="31" s="4" customFormat="1" ht="25.5">
      <c r="B31" s="4" t="s">
        <v>106</v>
      </c>
    </row>
    <row r="41" ht="12.75" customHeight="1"/>
    <row r="46" ht="12.75">
      <c r="C46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C20" sqref="C20"/>
    </sheetView>
  </sheetViews>
  <sheetFormatPr defaultColWidth="9.140625" defaultRowHeight="12.75"/>
  <cols>
    <col min="1" max="1" width="9.140625" style="0" hidden="1" customWidth="1"/>
    <col min="2" max="2" width="22.8515625" style="0" customWidth="1"/>
    <col min="3" max="3" width="58.7109375" style="0" customWidth="1"/>
  </cols>
  <sheetData>
    <row r="1" ht="12.75">
      <c r="B1" s="28" t="s">
        <v>109</v>
      </c>
    </row>
    <row r="3" ht="12.75">
      <c r="B3" s="29" t="s">
        <v>62</v>
      </c>
    </row>
    <row r="5" spans="2:3" s="4" customFormat="1" ht="25.5">
      <c r="B5" s="4" t="s">
        <v>27</v>
      </c>
      <c r="C5" s="4" t="s">
        <v>53</v>
      </c>
    </row>
    <row r="6" spans="2:3" s="4" customFormat="1" ht="12.75">
      <c r="B6" s="4" t="s">
        <v>28</v>
      </c>
      <c r="C6" s="4" t="s">
        <v>50</v>
      </c>
    </row>
    <row r="7" spans="2:3" s="4" customFormat="1" ht="12.75">
      <c r="B7" s="4" t="s">
        <v>29</v>
      </c>
      <c r="C7" s="4" t="s">
        <v>30</v>
      </c>
    </row>
    <row r="8" spans="2:3" s="4" customFormat="1" ht="12.75">
      <c r="B8" s="4" t="s">
        <v>31</v>
      </c>
      <c r="C8" s="7">
        <v>34628</v>
      </c>
    </row>
    <row r="9" spans="2:3" s="4" customFormat="1" ht="12.75">
      <c r="B9" s="4" t="s">
        <v>107</v>
      </c>
      <c r="C9" s="27">
        <v>34607</v>
      </c>
    </row>
    <row r="10" spans="2:3" s="4" customFormat="1" ht="12.75">
      <c r="B10" s="4" t="s">
        <v>85</v>
      </c>
      <c r="C10" s="4" t="s">
        <v>54</v>
      </c>
    </row>
    <row r="11" spans="2:3" s="4" customFormat="1" ht="12.75">
      <c r="B11" s="4" t="s">
        <v>32</v>
      </c>
      <c r="C11" s="4" t="s">
        <v>55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B3">
      <selection activeCell="C20" sqref="C20"/>
    </sheetView>
  </sheetViews>
  <sheetFormatPr defaultColWidth="9.140625" defaultRowHeight="12.75"/>
  <cols>
    <col min="1" max="1" width="3.00390625" style="2" hidden="1" customWidth="1"/>
    <col min="2" max="2" width="21.57421875" style="2" customWidth="1"/>
    <col min="3" max="3" width="11.28125" style="2" customWidth="1"/>
    <col min="4" max="4" width="6.8515625" style="2" bestFit="1" customWidth="1"/>
    <col min="5" max="5" width="5.421875" style="2" customWidth="1"/>
    <col min="6" max="6" width="2.421875" style="2" customWidth="1"/>
    <col min="7" max="7" width="9.8515625" style="2" customWidth="1"/>
    <col min="8" max="8" width="2.28125" style="2" customWidth="1"/>
    <col min="9" max="9" width="10.140625" style="2" customWidth="1"/>
    <col min="10" max="10" width="2.421875" style="2" customWidth="1"/>
    <col min="11" max="11" width="9.8515625" style="2" customWidth="1"/>
    <col min="12" max="12" width="2.421875" style="2" customWidth="1"/>
    <col min="13" max="13" width="9.140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5" ht="12.75">
      <c r="C3" s="2" t="s">
        <v>94</v>
      </c>
      <c r="D3" s="2" t="s">
        <v>33</v>
      </c>
      <c r="E3" s="2" t="s">
        <v>71</v>
      </c>
      <c r="G3" s="9"/>
      <c r="H3" s="9"/>
      <c r="I3" s="9"/>
      <c r="J3" s="9"/>
      <c r="K3" s="9"/>
      <c r="L3" s="10"/>
      <c r="O3" s="9"/>
    </row>
    <row r="4" spans="7:12" ht="12.75">
      <c r="G4" s="9"/>
      <c r="H4" s="9"/>
      <c r="I4" s="9"/>
      <c r="J4" s="9"/>
      <c r="K4" s="9"/>
      <c r="L4" s="9"/>
    </row>
    <row r="5" spans="7:12" ht="12.75">
      <c r="G5" s="9"/>
      <c r="H5" s="9"/>
      <c r="I5" s="9"/>
      <c r="J5" s="9"/>
      <c r="K5" s="9"/>
      <c r="L5" s="9"/>
    </row>
    <row r="6" spans="1:13" ht="12.75">
      <c r="A6" s="2">
        <v>1</v>
      </c>
      <c r="B6" s="1" t="s">
        <v>62</v>
      </c>
      <c r="C6" s="1" t="s">
        <v>95</v>
      </c>
      <c r="G6" s="9" t="s">
        <v>110</v>
      </c>
      <c r="H6" s="9"/>
      <c r="I6" s="9" t="s">
        <v>111</v>
      </c>
      <c r="J6" s="9"/>
      <c r="K6" s="9" t="s">
        <v>112</v>
      </c>
      <c r="L6" s="9"/>
      <c r="M6" s="9" t="s">
        <v>34</v>
      </c>
    </row>
    <row r="7" spans="2:12" ht="12.75" customHeight="1">
      <c r="B7" s="1"/>
      <c r="C7" s="1"/>
      <c r="G7" s="9"/>
      <c r="H7" s="9"/>
      <c r="I7" s="9"/>
      <c r="J7" s="9"/>
      <c r="K7" s="9"/>
      <c r="L7" s="9"/>
    </row>
    <row r="8" spans="2:13" ht="12.75">
      <c r="B8" s="2" t="s">
        <v>2</v>
      </c>
      <c r="C8" s="2" t="s">
        <v>117</v>
      </c>
      <c r="D8" s="2" t="s">
        <v>9</v>
      </c>
      <c r="E8" s="2" t="s">
        <v>35</v>
      </c>
      <c r="G8" s="2">
        <v>0.0384</v>
      </c>
      <c r="I8" s="2">
        <v>0.0369</v>
      </c>
      <c r="K8" s="2">
        <v>0.0371</v>
      </c>
      <c r="M8" s="11">
        <f>AVERAGE(K8,I8,G8)</f>
        <v>0.03746666666666667</v>
      </c>
    </row>
    <row r="9" spans="2:13" ht="12.75">
      <c r="B9" s="2" t="s">
        <v>99</v>
      </c>
      <c r="C9" s="2" t="s">
        <v>117</v>
      </c>
      <c r="D9" s="2" t="s">
        <v>10</v>
      </c>
      <c r="E9" s="2" t="s">
        <v>35</v>
      </c>
      <c r="G9" s="2">
        <v>18.62</v>
      </c>
      <c r="I9" s="2">
        <v>13.74</v>
      </c>
      <c r="K9" s="2">
        <v>10.16</v>
      </c>
      <c r="M9" s="12">
        <f>AVERAGE(K9,I9,G9)</f>
        <v>14.173333333333332</v>
      </c>
    </row>
    <row r="10" spans="2:13" ht="12.75">
      <c r="B10" s="2" t="s">
        <v>100</v>
      </c>
      <c r="C10" s="2" t="s">
        <v>117</v>
      </c>
      <c r="D10" s="2" t="s">
        <v>10</v>
      </c>
      <c r="E10" s="2" t="s">
        <v>35</v>
      </c>
      <c r="G10" s="2">
        <v>42.93</v>
      </c>
      <c r="I10" s="2">
        <v>36</v>
      </c>
      <c r="K10" s="2">
        <v>26.19</v>
      </c>
      <c r="M10" s="12">
        <f>AVERAGE(K10,I10,G10)</f>
        <v>35.04</v>
      </c>
    </row>
    <row r="11" spans="2:13" ht="12.75">
      <c r="B11" s="2" t="s">
        <v>3</v>
      </c>
      <c r="D11" s="2" t="s">
        <v>10</v>
      </c>
      <c r="E11" s="2" t="s">
        <v>36</v>
      </c>
      <c r="G11" s="2">
        <v>0.46</v>
      </c>
      <c r="I11" s="2">
        <v>0.34</v>
      </c>
      <c r="K11" s="2">
        <v>0.34</v>
      </c>
      <c r="M11" s="13"/>
    </row>
    <row r="12" spans="2:13" ht="12.75">
      <c r="B12" s="2" t="s">
        <v>4</v>
      </c>
      <c r="D12" s="2" t="s">
        <v>10</v>
      </c>
      <c r="E12" s="2" t="s">
        <v>36</v>
      </c>
      <c r="G12" s="14">
        <v>0.02</v>
      </c>
      <c r="I12" s="14">
        <v>0.01</v>
      </c>
      <c r="K12" s="14">
        <v>0.02</v>
      </c>
      <c r="M12" s="13"/>
    </row>
    <row r="13" spans="2:13" ht="12.75">
      <c r="B13" s="2" t="s">
        <v>98</v>
      </c>
      <c r="D13" s="2" t="s">
        <v>10</v>
      </c>
      <c r="E13" s="2" t="s">
        <v>36</v>
      </c>
      <c r="G13" s="14">
        <f>G11+2*(G12)</f>
        <v>0.5</v>
      </c>
      <c r="I13" s="14">
        <f>I11+2*(I12)</f>
        <v>0.36000000000000004</v>
      </c>
      <c r="K13" s="14">
        <f>K11+2*(K12)</f>
        <v>0.38</v>
      </c>
      <c r="M13" s="15"/>
    </row>
    <row r="14" ht="12.75" customHeight="1"/>
    <row r="15" spans="2:4" ht="12" customHeight="1">
      <c r="B15" s="2" t="s">
        <v>101</v>
      </c>
      <c r="C15" s="3" t="s">
        <v>139</v>
      </c>
      <c r="D15" s="2" t="s">
        <v>117</v>
      </c>
    </row>
    <row r="16" spans="2:13" ht="12.75">
      <c r="B16" s="2" t="s">
        <v>38</v>
      </c>
      <c r="D16" s="2" t="s">
        <v>14</v>
      </c>
      <c r="G16" s="16">
        <v>37608</v>
      </c>
      <c r="H16" s="16"/>
      <c r="I16" s="16">
        <v>39408</v>
      </c>
      <c r="J16" s="16"/>
      <c r="K16" s="16">
        <v>42335</v>
      </c>
      <c r="L16" s="16"/>
      <c r="M16" s="16">
        <f>AVERAGE(K16,I16,G16)</f>
        <v>39783.666666666664</v>
      </c>
    </row>
    <row r="17" spans="2:13" ht="12.75">
      <c r="B17" s="2" t="s">
        <v>96</v>
      </c>
      <c r="D17" s="2" t="s">
        <v>15</v>
      </c>
      <c r="G17" s="2">
        <v>5</v>
      </c>
      <c r="I17" s="2">
        <v>5.7</v>
      </c>
      <c r="K17" s="2">
        <v>6.4</v>
      </c>
      <c r="M17" s="13">
        <f>AVERAGE(K17,I17,G17)</f>
        <v>5.7</v>
      </c>
    </row>
    <row r="18" spans="2:13" ht="12.75">
      <c r="B18" s="2" t="s">
        <v>97</v>
      </c>
      <c r="D18" s="2" t="s">
        <v>15</v>
      </c>
      <c r="G18" s="2">
        <v>23.72</v>
      </c>
      <c r="I18" s="2">
        <v>22.31</v>
      </c>
      <c r="K18" s="2">
        <v>20.82</v>
      </c>
      <c r="M18" s="12">
        <f>AVERAGE(K18,I18,G18)</f>
        <v>22.28333333333333</v>
      </c>
    </row>
    <row r="19" spans="2:13" ht="12.75">
      <c r="B19" s="2" t="s">
        <v>39</v>
      </c>
      <c r="D19" s="2" t="s">
        <v>16</v>
      </c>
      <c r="G19" s="2">
        <v>463</v>
      </c>
      <c r="I19" s="2">
        <v>474</v>
      </c>
      <c r="K19" s="2">
        <v>486</v>
      </c>
      <c r="M19" s="12">
        <f>AVERAGE(K19,I19,G19)</f>
        <v>474.3333333333333</v>
      </c>
    </row>
    <row r="21" spans="2:13" ht="12.75">
      <c r="B21" s="2" t="s">
        <v>3</v>
      </c>
      <c r="C21" s="2" t="s">
        <v>117</v>
      </c>
      <c r="D21" s="2" t="s">
        <v>10</v>
      </c>
      <c r="E21" s="2" t="s">
        <v>35</v>
      </c>
      <c r="G21" s="13">
        <f>G11*(21-7)/(21-G17)</f>
        <v>0.4025</v>
      </c>
      <c r="H21" s="13"/>
      <c r="I21" s="13">
        <f>I11*(21-7)/(21-I17)</f>
        <v>0.3111111111111111</v>
      </c>
      <c r="J21" s="13"/>
      <c r="K21" s="13">
        <f>K11*(21-7)/(21-K17)</f>
        <v>0.326027397260274</v>
      </c>
      <c r="M21" s="13">
        <f>AVERAGE(K21,I21,G21)</f>
        <v>0.3465461694571284</v>
      </c>
    </row>
    <row r="22" spans="2:13" ht="12.75">
      <c r="B22" s="2" t="s">
        <v>4</v>
      </c>
      <c r="C22" s="2" t="s">
        <v>117</v>
      </c>
      <c r="D22" s="2" t="s">
        <v>10</v>
      </c>
      <c r="E22" s="2" t="s">
        <v>35</v>
      </c>
      <c r="G22" s="13">
        <f>G12*(21-7)/(21-G$17)</f>
        <v>0.0175</v>
      </c>
      <c r="I22" s="13">
        <f>I12*(21-7)/(21-I$17)</f>
        <v>0.009150326797385621</v>
      </c>
      <c r="K22" s="13">
        <f>K12*(21-7)/(21-K$17)</f>
        <v>0.019178082191780823</v>
      </c>
      <c r="M22" s="13">
        <f>AVERAGE(K22,I22,G22)</f>
        <v>0.015276136329722148</v>
      </c>
    </row>
    <row r="23" spans="2:13" ht="12.75">
      <c r="B23" s="2" t="s">
        <v>98</v>
      </c>
      <c r="C23" s="2" t="s">
        <v>117</v>
      </c>
      <c r="D23" s="2" t="s">
        <v>10</v>
      </c>
      <c r="E23" s="2" t="s">
        <v>35</v>
      </c>
      <c r="G23" s="13">
        <f>G21+(2*G22)</f>
        <v>0.4375</v>
      </c>
      <c r="H23" s="13"/>
      <c r="I23" s="13">
        <f>I21+(2*I22)</f>
        <v>0.32941176470588235</v>
      </c>
      <c r="J23" s="13"/>
      <c r="K23" s="13">
        <f>K21+(2*K22)</f>
        <v>0.3643835616438357</v>
      </c>
      <c r="M23" s="13">
        <f>AVERAGE(K23,I23,G23)</f>
        <v>0.3770984421165727</v>
      </c>
    </row>
    <row r="29" spans="2:12" ht="12.75">
      <c r="B29" s="1"/>
      <c r="C29" s="1"/>
      <c r="G29" s="9"/>
      <c r="H29" s="9"/>
      <c r="I29" s="9"/>
      <c r="J29" s="9"/>
      <c r="K29" s="9"/>
      <c r="L29" s="9"/>
    </row>
    <row r="30" spans="2:12" ht="12.75" customHeight="1">
      <c r="B30" s="1"/>
      <c r="C30" s="1"/>
      <c r="G30" s="9"/>
      <c r="H30" s="9"/>
      <c r="I30" s="9"/>
      <c r="J30" s="9"/>
      <c r="K30" s="9"/>
      <c r="L30" s="9"/>
    </row>
    <row r="31" ht="12.75">
      <c r="M31" s="11"/>
    </row>
    <row r="33" ht="12.75">
      <c r="M33" s="13"/>
    </row>
    <row r="34" spans="7:13" ht="12.75">
      <c r="G34" s="14"/>
      <c r="I34" s="14"/>
      <c r="K34" s="14"/>
      <c r="M34" s="13"/>
    </row>
    <row r="35" spans="7:13" ht="12.75">
      <c r="G35" s="13"/>
      <c r="H35" s="13"/>
      <c r="I35" s="13"/>
      <c r="J35" s="13"/>
      <c r="K35" s="13"/>
      <c r="M35" s="13"/>
    </row>
    <row r="37" ht="12" customHeight="1"/>
    <row r="38" ht="12.75">
      <c r="M38" s="16"/>
    </row>
    <row r="39" ht="12.75">
      <c r="M39" s="12"/>
    </row>
    <row r="40" ht="12.75">
      <c r="M40" s="12"/>
    </row>
    <row r="41" ht="12.75">
      <c r="M41" s="12"/>
    </row>
    <row r="43" spans="7:13" ht="12.75">
      <c r="G43" s="13"/>
      <c r="H43" s="13"/>
      <c r="I43" s="13"/>
      <c r="J43" s="13"/>
      <c r="K43" s="13"/>
      <c r="M43" s="13"/>
    </row>
    <row r="44" spans="7:13" ht="12.75">
      <c r="G44" s="13"/>
      <c r="I44" s="13"/>
      <c r="K44" s="13"/>
      <c r="M44" s="13"/>
    </row>
    <row r="45" spans="7:13" ht="12.75">
      <c r="G45" s="13"/>
      <c r="I45" s="13"/>
      <c r="K45" s="13"/>
      <c r="M45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89"/>
  <sheetViews>
    <sheetView zoomScale="75" zoomScaleNormal="75" workbookViewId="0" topLeftCell="B1">
      <selection activeCell="C20" sqref="C20"/>
    </sheetView>
  </sheetViews>
  <sheetFormatPr defaultColWidth="9.140625" defaultRowHeight="12.75"/>
  <cols>
    <col min="1" max="1" width="8.00390625" style="2" hidden="1" customWidth="1"/>
    <col min="2" max="3" width="19.7109375" style="2" customWidth="1"/>
    <col min="4" max="4" width="9.00390625" style="2" customWidth="1"/>
    <col min="5" max="5" width="4.140625" style="9" customWidth="1"/>
    <col min="6" max="6" width="8.421875" style="9" customWidth="1"/>
    <col min="7" max="7" width="5.421875" style="9" customWidth="1"/>
    <col min="8" max="8" width="9.421875" style="9" customWidth="1"/>
    <col min="9" max="9" width="4.28125" style="9" customWidth="1"/>
    <col min="10" max="10" width="10.57421875" style="9" customWidth="1"/>
    <col min="11" max="11" width="4.421875" style="9" customWidth="1"/>
    <col min="12" max="12" width="8.421875" style="9" customWidth="1"/>
    <col min="13" max="13" width="5.421875" style="9" customWidth="1"/>
    <col min="14" max="14" width="8.7109375" style="9" customWidth="1"/>
    <col min="15" max="15" width="5.140625" style="9" customWidth="1"/>
    <col min="16" max="16" width="9.00390625" style="9" customWidth="1"/>
    <col min="17" max="17" width="4.140625" style="9" customWidth="1"/>
    <col min="18" max="18" width="13.7109375" style="9" customWidth="1"/>
    <col min="19" max="19" width="4.421875" style="9" customWidth="1"/>
    <col min="20" max="20" width="11.140625" style="9" customWidth="1"/>
    <col min="21" max="21" width="4.140625" style="9" customWidth="1"/>
    <col min="22" max="22" width="8.7109375" style="9" customWidth="1"/>
    <col min="23" max="23" width="4.28125" style="9" customWidth="1"/>
    <col min="24" max="24" width="8.57421875" style="9" customWidth="1"/>
    <col min="25" max="25" width="4.28125" style="9" customWidth="1"/>
    <col min="26" max="26" width="11.57421875" style="9" customWidth="1"/>
    <col min="27" max="27" width="4.7109375" style="9" customWidth="1"/>
    <col min="28" max="28" width="12.140625" style="9" customWidth="1"/>
    <col min="29" max="29" width="3.8515625" style="9" customWidth="1"/>
    <col min="30" max="30" width="13.8515625" style="9" customWidth="1"/>
    <col min="31" max="31" width="3.8515625" style="9" customWidth="1"/>
    <col min="32" max="32" width="10.00390625" style="9" customWidth="1"/>
    <col min="33" max="33" width="3.8515625" style="9" customWidth="1"/>
    <col min="34" max="34" width="9.421875" style="9" customWidth="1"/>
    <col min="35" max="35" width="3.8515625" style="9" customWidth="1"/>
    <col min="36" max="36" width="9.28125" style="9" customWidth="1"/>
    <col min="37" max="37" width="5.7109375" style="9" customWidth="1"/>
    <col min="38" max="38" width="8.140625" style="9" customWidth="1"/>
    <col min="39" max="39" width="4.00390625" style="9" customWidth="1"/>
    <col min="40" max="40" width="7.57421875" style="9" customWidth="1"/>
    <col min="41" max="41" width="4.140625" style="9" customWidth="1"/>
    <col min="42" max="42" width="9.7109375" style="9" customWidth="1"/>
    <col min="43" max="43" width="4.140625" style="9" customWidth="1"/>
    <col min="44" max="44" width="10.57421875" style="2" customWidth="1"/>
    <col min="45" max="45" width="12.7109375" style="2" customWidth="1"/>
    <col min="46" max="46" width="6.7109375" style="2" customWidth="1"/>
    <col min="47" max="16384" width="11.421875" style="2" customWidth="1"/>
  </cols>
  <sheetData>
    <row r="1" spans="2:3" ht="12.75">
      <c r="B1" s="1" t="s">
        <v>40</v>
      </c>
      <c r="C1" s="1"/>
    </row>
    <row r="2" ht="12.75" customHeight="1"/>
    <row r="3" ht="12.75" customHeight="1">
      <c r="AT3" s="9"/>
    </row>
    <row r="4" spans="1:44" ht="12.75">
      <c r="A4" s="2" t="s">
        <v>102</v>
      </c>
      <c r="B4" s="1" t="s">
        <v>62</v>
      </c>
      <c r="C4" s="1"/>
      <c r="F4" s="9" t="s">
        <v>110</v>
      </c>
      <c r="H4" s="9" t="s">
        <v>111</v>
      </c>
      <c r="J4" s="9" t="s">
        <v>112</v>
      </c>
      <c r="L4" s="2" t="s">
        <v>34</v>
      </c>
      <c r="N4" s="9" t="s">
        <v>110</v>
      </c>
      <c r="P4" s="9" t="s">
        <v>111</v>
      </c>
      <c r="R4" s="9" t="s">
        <v>112</v>
      </c>
      <c r="T4" s="2" t="s">
        <v>34</v>
      </c>
      <c r="V4" s="9" t="s">
        <v>110</v>
      </c>
      <c r="X4" s="9" t="s">
        <v>111</v>
      </c>
      <c r="Z4" s="9" t="s">
        <v>112</v>
      </c>
      <c r="AB4" s="2" t="s">
        <v>34</v>
      </c>
      <c r="AD4" s="9" t="s">
        <v>110</v>
      </c>
      <c r="AF4" s="9" t="s">
        <v>111</v>
      </c>
      <c r="AH4" s="9" t="s">
        <v>112</v>
      </c>
      <c r="AJ4" s="2" t="s">
        <v>34</v>
      </c>
      <c r="AL4" s="9" t="s">
        <v>110</v>
      </c>
      <c r="AN4" s="9" t="s">
        <v>111</v>
      </c>
      <c r="AP4" s="9" t="s">
        <v>112</v>
      </c>
      <c r="AR4" s="2" t="s">
        <v>34</v>
      </c>
    </row>
    <row r="5" spans="2:36" ht="12.75">
      <c r="B5" s="1"/>
      <c r="C5" s="1"/>
      <c r="L5" s="2"/>
      <c r="T5" s="2"/>
      <c r="AB5" s="2"/>
      <c r="AJ5" s="2"/>
    </row>
    <row r="6" spans="2:44" ht="12.75">
      <c r="B6" s="31" t="s">
        <v>113</v>
      </c>
      <c r="C6" s="1"/>
      <c r="F6" s="9" t="s">
        <v>131</v>
      </c>
      <c r="H6" s="9" t="s">
        <v>131</v>
      </c>
      <c r="J6" s="9" t="s">
        <v>131</v>
      </c>
      <c r="L6" s="2" t="s">
        <v>131</v>
      </c>
      <c r="N6" s="9" t="s">
        <v>132</v>
      </c>
      <c r="P6" s="9" t="s">
        <v>132</v>
      </c>
      <c r="R6" s="9" t="s">
        <v>132</v>
      </c>
      <c r="T6" s="2" t="s">
        <v>132</v>
      </c>
      <c r="V6" s="9" t="s">
        <v>133</v>
      </c>
      <c r="X6" s="9" t="s">
        <v>133</v>
      </c>
      <c r="Z6" s="9" t="s">
        <v>133</v>
      </c>
      <c r="AB6" s="2" t="s">
        <v>133</v>
      </c>
      <c r="AD6" s="9" t="s">
        <v>134</v>
      </c>
      <c r="AF6" s="9" t="s">
        <v>134</v>
      </c>
      <c r="AH6" s="9" t="s">
        <v>134</v>
      </c>
      <c r="AJ6" s="2" t="s">
        <v>134</v>
      </c>
      <c r="AL6" s="9" t="s">
        <v>135</v>
      </c>
      <c r="AN6" s="9" t="s">
        <v>135</v>
      </c>
      <c r="AP6" s="9" t="s">
        <v>135</v>
      </c>
      <c r="AR6" s="2" t="s">
        <v>135</v>
      </c>
    </row>
    <row r="7" spans="2:44" ht="12.75" customHeight="1">
      <c r="B7" s="31" t="s">
        <v>114</v>
      </c>
      <c r="F7" s="9" t="s">
        <v>115</v>
      </c>
      <c r="H7" s="9" t="s">
        <v>115</v>
      </c>
      <c r="J7" s="9" t="s">
        <v>115</v>
      </c>
      <c r="L7" s="9" t="s">
        <v>115</v>
      </c>
      <c r="N7" s="9" t="s">
        <v>118</v>
      </c>
      <c r="P7" s="9" t="s">
        <v>118</v>
      </c>
      <c r="R7" s="9" t="s">
        <v>118</v>
      </c>
      <c r="T7" s="9" t="s">
        <v>118</v>
      </c>
      <c r="V7" s="9" t="s">
        <v>116</v>
      </c>
      <c r="X7" s="9" t="s">
        <v>116</v>
      </c>
      <c r="Z7" s="9" t="s">
        <v>116</v>
      </c>
      <c r="AB7" s="9" t="s">
        <v>116</v>
      </c>
      <c r="AD7" s="9" t="s">
        <v>12</v>
      </c>
      <c r="AF7" s="9" t="s">
        <v>12</v>
      </c>
      <c r="AH7" s="9" t="s">
        <v>12</v>
      </c>
      <c r="AJ7" s="9" t="s">
        <v>12</v>
      </c>
      <c r="AL7" s="9" t="s">
        <v>65</v>
      </c>
      <c r="AN7" s="9" t="s">
        <v>65</v>
      </c>
      <c r="AP7" s="9" t="s">
        <v>65</v>
      </c>
      <c r="AR7" s="9" t="s">
        <v>65</v>
      </c>
    </row>
    <row r="8" spans="2:44" ht="12.75" customHeight="1">
      <c r="B8" s="31" t="s">
        <v>136</v>
      </c>
      <c r="F8" s="9" t="s">
        <v>1</v>
      </c>
      <c r="H8" s="9" t="s">
        <v>1</v>
      </c>
      <c r="J8" s="9" t="s">
        <v>1</v>
      </c>
      <c r="L8" s="9" t="s">
        <v>1</v>
      </c>
      <c r="N8" s="9" t="s">
        <v>138</v>
      </c>
      <c r="P8" s="9" t="s">
        <v>138</v>
      </c>
      <c r="R8" s="9" t="s">
        <v>138</v>
      </c>
      <c r="T8" s="9" t="s">
        <v>138</v>
      </c>
      <c r="V8" s="9" t="s">
        <v>137</v>
      </c>
      <c r="X8" s="9" t="s">
        <v>137</v>
      </c>
      <c r="Z8" s="9" t="s">
        <v>137</v>
      </c>
      <c r="AB8" s="9" t="s">
        <v>137</v>
      </c>
      <c r="AD8" s="9" t="s">
        <v>12</v>
      </c>
      <c r="AF8" s="9" t="s">
        <v>12</v>
      </c>
      <c r="AH8" s="9" t="s">
        <v>12</v>
      </c>
      <c r="AJ8" s="9" t="s">
        <v>12</v>
      </c>
      <c r="AL8" s="9" t="s">
        <v>65</v>
      </c>
      <c r="AN8" s="9" t="s">
        <v>65</v>
      </c>
      <c r="AP8" s="9" t="s">
        <v>65</v>
      </c>
      <c r="AR8" s="9" t="s">
        <v>65</v>
      </c>
    </row>
    <row r="9" spans="2:44" ht="12.75">
      <c r="B9" s="2" t="s">
        <v>105</v>
      </c>
      <c r="F9" s="9" t="s">
        <v>66</v>
      </c>
      <c r="H9" s="9" t="s">
        <v>66</v>
      </c>
      <c r="J9" s="9" t="s">
        <v>66</v>
      </c>
      <c r="L9" s="9" t="s">
        <v>66</v>
      </c>
      <c r="N9" s="9" t="s">
        <v>63</v>
      </c>
      <c r="P9" s="9" t="s">
        <v>63</v>
      </c>
      <c r="R9" s="9" t="s">
        <v>63</v>
      </c>
      <c r="T9" s="9" t="s">
        <v>63</v>
      </c>
      <c r="V9" s="9" t="s">
        <v>67</v>
      </c>
      <c r="X9" s="9" t="s">
        <v>67</v>
      </c>
      <c r="Z9" s="9" t="s">
        <v>67</v>
      </c>
      <c r="AB9" s="9" t="s">
        <v>67</v>
      </c>
      <c r="AD9" s="9" t="s">
        <v>12</v>
      </c>
      <c r="AF9" s="9" t="s">
        <v>12</v>
      </c>
      <c r="AH9" s="9" t="s">
        <v>12</v>
      </c>
      <c r="AJ9" s="9" t="s">
        <v>12</v>
      </c>
      <c r="AL9" s="9" t="s">
        <v>65</v>
      </c>
      <c r="AN9" s="9" t="s">
        <v>65</v>
      </c>
      <c r="AP9" s="9" t="s">
        <v>65</v>
      </c>
      <c r="AR9" s="9" t="s">
        <v>65</v>
      </c>
    </row>
    <row r="10" spans="2:44" ht="12.75">
      <c r="B10" s="2" t="s">
        <v>104</v>
      </c>
      <c r="D10" s="2" t="s">
        <v>41</v>
      </c>
      <c r="F10" s="30">
        <v>1130000</v>
      </c>
      <c r="G10" s="14"/>
      <c r="H10" s="30">
        <v>1050000</v>
      </c>
      <c r="I10" s="14"/>
      <c r="J10" s="30">
        <v>1040000</v>
      </c>
      <c r="K10" s="14"/>
      <c r="L10" s="17">
        <v>1070000</v>
      </c>
      <c r="M10" s="17"/>
      <c r="N10" s="17">
        <v>2220000</v>
      </c>
      <c r="O10" s="17"/>
      <c r="P10" s="17">
        <v>3080000</v>
      </c>
      <c r="Q10" s="17"/>
      <c r="R10" s="17">
        <v>2020000</v>
      </c>
      <c r="S10" s="17"/>
      <c r="T10" s="17">
        <v>2440000</v>
      </c>
      <c r="U10" s="17"/>
      <c r="V10" s="17">
        <v>2000000</v>
      </c>
      <c r="W10" s="17"/>
      <c r="X10" s="17">
        <v>1210000</v>
      </c>
      <c r="Y10" s="17"/>
      <c r="Z10" s="17">
        <v>1210000</v>
      </c>
      <c r="AA10" s="18"/>
      <c r="AB10" s="17">
        <v>1500000</v>
      </c>
      <c r="AC10" s="17"/>
      <c r="AD10" s="17">
        <v>29336</v>
      </c>
      <c r="AE10" s="17"/>
      <c r="AF10" s="17">
        <v>29338</v>
      </c>
      <c r="AG10" s="17"/>
      <c r="AH10" s="17">
        <v>29406</v>
      </c>
      <c r="AI10" s="17"/>
      <c r="AR10" s="16"/>
    </row>
    <row r="11" spans="2:44" ht="12.75">
      <c r="B11" s="2" t="s">
        <v>7</v>
      </c>
      <c r="D11" s="2" t="s">
        <v>41</v>
      </c>
      <c r="E11" s="9" t="s">
        <v>37</v>
      </c>
      <c r="F11" s="20">
        <v>101.701</v>
      </c>
      <c r="G11" s="14" t="s">
        <v>37</v>
      </c>
      <c r="H11" s="20">
        <v>99.465</v>
      </c>
      <c r="I11" s="14" t="s">
        <v>37</v>
      </c>
      <c r="J11" s="20">
        <v>5418.923</v>
      </c>
      <c r="K11" s="14"/>
      <c r="L11" s="14">
        <v>1934</v>
      </c>
      <c r="M11" s="14"/>
      <c r="N11" s="14"/>
      <c r="O11" s="14"/>
      <c r="P11" s="14"/>
      <c r="Q11" s="14"/>
      <c r="R11" s="14"/>
      <c r="S11" s="14"/>
      <c r="T11" s="14">
        <v>0</v>
      </c>
      <c r="U11" s="14" t="s">
        <v>37</v>
      </c>
      <c r="V11" s="20">
        <v>239.338</v>
      </c>
      <c r="W11" s="14" t="s">
        <v>37</v>
      </c>
      <c r="X11" s="20">
        <v>241.515</v>
      </c>
      <c r="Y11" s="14" t="s">
        <v>37</v>
      </c>
      <c r="Z11" s="20">
        <v>241.73</v>
      </c>
      <c r="AB11" s="14">
        <v>240</v>
      </c>
      <c r="AC11" s="14"/>
      <c r="AD11" s="17">
        <v>10932.986</v>
      </c>
      <c r="AE11" s="17"/>
      <c r="AF11" s="17">
        <v>10756.471</v>
      </c>
      <c r="AG11" s="17"/>
      <c r="AH11" s="17">
        <v>9752.894</v>
      </c>
      <c r="AI11" s="14"/>
      <c r="AJ11" s="14">
        <v>10487</v>
      </c>
      <c r="AK11" s="14"/>
      <c r="AL11" s="14"/>
      <c r="AM11" s="14"/>
      <c r="AN11" s="14"/>
      <c r="AO11" s="14"/>
      <c r="AP11" s="14"/>
      <c r="AQ11" s="14"/>
      <c r="AR11" s="16"/>
    </row>
    <row r="12" spans="2:44" ht="12.75">
      <c r="B12" s="2" t="s">
        <v>42</v>
      </c>
      <c r="D12" s="2" t="s">
        <v>41</v>
      </c>
      <c r="E12" s="9" t="s">
        <v>37</v>
      </c>
      <c r="F12" s="14">
        <v>237.3</v>
      </c>
      <c r="G12" s="14" t="s">
        <v>37</v>
      </c>
      <c r="H12" s="20">
        <v>219.67</v>
      </c>
      <c r="I12" s="14" t="s">
        <v>37</v>
      </c>
      <c r="J12" s="20">
        <v>229.26</v>
      </c>
      <c r="K12" s="14"/>
      <c r="L12" s="14">
        <v>228.8</v>
      </c>
      <c r="M12" s="14"/>
      <c r="N12" s="14">
        <v>0.201</v>
      </c>
      <c r="O12" s="14"/>
      <c r="P12" s="14">
        <v>0.315</v>
      </c>
      <c r="Q12" s="14" t="s">
        <v>37</v>
      </c>
      <c r="R12" s="14">
        <v>20.206</v>
      </c>
      <c r="S12" s="14"/>
      <c r="T12" s="14">
        <v>6.9</v>
      </c>
      <c r="U12" s="14" t="s">
        <v>37</v>
      </c>
      <c r="V12" s="20">
        <v>275.24</v>
      </c>
      <c r="W12" s="14" t="s">
        <v>37</v>
      </c>
      <c r="X12" s="20">
        <v>277.74</v>
      </c>
      <c r="Y12" s="14" t="s">
        <v>37</v>
      </c>
      <c r="Z12" s="20">
        <v>277.99</v>
      </c>
      <c r="AB12" s="14">
        <v>277</v>
      </c>
      <c r="AC12" s="14" t="s">
        <v>37</v>
      </c>
      <c r="AD12" s="20">
        <v>6.754</v>
      </c>
      <c r="AE12" s="20" t="s">
        <v>37</v>
      </c>
      <c r="AF12" s="20">
        <v>6.467</v>
      </c>
      <c r="AG12" s="20" t="s">
        <v>37</v>
      </c>
      <c r="AH12" s="20">
        <v>6.473</v>
      </c>
      <c r="AI12" s="14"/>
      <c r="AR12" s="12"/>
    </row>
    <row r="13" spans="2:35" ht="12.75">
      <c r="B13" s="2" t="s">
        <v>80</v>
      </c>
      <c r="D13" s="2" t="s">
        <v>41</v>
      </c>
      <c r="F13" s="14">
        <v>0.044</v>
      </c>
      <c r="G13" s="14" t="s">
        <v>37</v>
      </c>
      <c r="H13" s="14">
        <v>0.035</v>
      </c>
      <c r="I13" s="14" t="s">
        <v>37</v>
      </c>
      <c r="J13" s="14">
        <v>0.034</v>
      </c>
      <c r="K13" s="14"/>
      <c r="L13" s="32">
        <v>0.0377</v>
      </c>
      <c r="M13" s="14" t="s">
        <v>37</v>
      </c>
      <c r="N13" s="30">
        <v>0.00103</v>
      </c>
      <c r="O13" s="14" t="s">
        <v>37</v>
      </c>
      <c r="P13" s="30">
        <v>0.00136</v>
      </c>
      <c r="Q13" s="14" t="s">
        <v>37</v>
      </c>
      <c r="R13" s="30">
        <v>0.000918</v>
      </c>
      <c r="S13" s="14"/>
      <c r="T13" s="14"/>
      <c r="U13" s="14" t="s">
        <v>37</v>
      </c>
      <c r="V13" s="14">
        <v>0.039</v>
      </c>
      <c r="W13" s="14" t="s">
        <v>37</v>
      </c>
      <c r="X13" s="14">
        <v>0.04</v>
      </c>
      <c r="Y13" s="14" t="s">
        <v>37</v>
      </c>
      <c r="Z13" s="14">
        <v>0.04</v>
      </c>
      <c r="AB13" s="14">
        <v>0.04</v>
      </c>
      <c r="AC13" s="14"/>
      <c r="AD13" s="14"/>
      <c r="AE13" s="14"/>
      <c r="AF13" s="14"/>
      <c r="AG13" s="14"/>
      <c r="AH13" s="14"/>
      <c r="AI13" s="14"/>
    </row>
    <row r="14" spans="2:44" ht="12.75">
      <c r="B14" s="2" t="s">
        <v>79</v>
      </c>
      <c r="D14" s="2" t="s">
        <v>41</v>
      </c>
      <c r="E14" s="9" t="s">
        <v>37</v>
      </c>
      <c r="F14" s="15">
        <v>4.633</v>
      </c>
      <c r="G14" s="15" t="s">
        <v>37</v>
      </c>
      <c r="H14" s="15">
        <v>14.03</v>
      </c>
      <c r="I14" s="15" t="s">
        <v>37</v>
      </c>
      <c r="J14" s="15">
        <v>6.044</v>
      </c>
      <c r="K14" s="15"/>
      <c r="L14" s="15">
        <v>8.236</v>
      </c>
      <c r="M14" s="14" t="s">
        <v>37</v>
      </c>
      <c r="N14" s="30">
        <v>0.00122</v>
      </c>
      <c r="O14" s="14" t="s">
        <v>37</v>
      </c>
      <c r="P14" s="30">
        <v>0.00159</v>
      </c>
      <c r="Q14" s="14" t="s">
        <v>37</v>
      </c>
      <c r="R14" s="30">
        <v>0.001097</v>
      </c>
      <c r="S14" s="14"/>
      <c r="T14" s="14"/>
      <c r="U14" s="14" t="s">
        <v>37</v>
      </c>
      <c r="V14" s="15">
        <v>6.462</v>
      </c>
      <c r="W14" s="15" t="s">
        <v>37</v>
      </c>
      <c r="X14" s="15">
        <v>14.37</v>
      </c>
      <c r="Y14" s="15" t="s">
        <v>37</v>
      </c>
      <c r="Z14" s="15">
        <v>3.989</v>
      </c>
      <c r="AB14" s="14">
        <v>8.3</v>
      </c>
      <c r="AC14" s="14"/>
      <c r="AD14" s="14"/>
      <c r="AE14" s="14"/>
      <c r="AF14" s="14"/>
      <c r="AG14" s="14"/>
      <c r="AH14" s="14"/>
      <c r="AI14" s="14"/>
      <c r="AR14" s="13"/>
    </row>
    <row r="15" spans="2:44" ht="12.75">
      <c r="B15" s="2" t="s">
        <v>77</v>
      </c>
      <c r="D15" s="2" t="s">
        <v>41</v>
      </c>
      <c r="E15" s="9" t="s">
        <v>37</v>
      </c>
      <c r="F15" s="14">
        <v>1.13</v>
      </c>
      <c r="G15" s="14" t="s">
        <v>37</v>
      </c>
      <c r="H15" s="14">
        <v>1.047</v>
      </c>
      <c r="I15" s="14" t="s">
        <v>37</v>
      </c>
      <c r="J15" s="14">
        <v>1.042</v>
      </c>
      <c r="K15" s="14"/>
      <c r="L15" s="14">
        <v>1.073</v>
      </c>
      <c r="M15" s="14" t="s">
        <v>37</v>
      </c>
      <c r="N15" s="30">
        <v>0.001196</v>
      </c>
      <c r="O15" s="14" t="s">
        <v>37</v>
      </c>
      <c r="P15" s="30">
        <v>0.00166</v>
      </c>
      <c r="Q15" s="14" t="s">
        <v>37</v>
      </c>
      <c r="R15" s="30">
        <v>0.001097</v>
      </c>
      <c r="S15" s="14"/>
      <c r="T15" s="14"/>
      <c r="U15" s="14" t="s">
        <v>37</v>
      </c>
      <c r="V15" s="14">
        <v>1.197</v>
      </c>
      <c r="W15" s="14" t="s">
        <v>37</v>
      </c>
      <c r="X15" s="14">
        <v>0.809</v>
      </c>
      <c r="Y15" s="14" t="s">
        <v>37</v>
      </c>
      <c r="Z15" s="14">
        <v>1.209</v>
      </c>
      <c r="AB15" s="14">
        <v>1.1</v>
      </c>
      <c r="AC15" s="14"/>
      <c r="AD15" s="14"/>
      <c r="AE15" s="14"/>
      <c r="AF15" s="14"/>
      <c r="AG15" s="14"/>
      <c r="AH15" s="14"/>
      <c r="AI15" s="14"/>
      <c r="AR15" s="13"/>
    </row>
    <row r="16" spans="2:44" ht="12.75">
      <c r="B16" s="2" t="s">
        <v>74</v>
      </c>
      <c r="D16" s="2" t="s">
        <v>41</v>
      </c>
      <c r="E16" s="9" t="s">
        <v>37</v>
      </c>
      <c r="F16" s="14">
        <v>2.26</v>
      </c>
      <c r="G16" s="14" t="s">
        <v>37</v>
      </c>
      <c r="H16" s="14">
        <v>2.094</v>
      </c>
      <c r="I16" s="14" t="s">
        <v>37</v>
      </c>
      <c r="J16" s="14">
        <v>2.084</v>
      </c>
      <c r="K16" s="14"/>
      <c r="L16" s="14">
        <v>2.146</v>
      </c>
      <c r="M16" s="14" t="s">
        <v>37</v>
      </c>
      <c r="N16" s="30">
        <v>0.001036</v>
      </c>
      <c r="O16" s="14"/>
      <c r="P16" s="30">
        <v>0.000898</v>
      </c>
      <c r="Q16" s="14" t="s">
        <v>37</v>
      </c>
      <c r="R16" s="30">
        <v>0.000762</v>
      </c>
      <c r="S16" s="14"/>
      <c r="T16" s="14"/>
      <c r="U16" s="14" t="s">
        <v>37</v>
      </c>
      <c r="V16" s="14">
        <v>2.393</v>
      </c>
      <c r="W16" s="14" t="s">
        <v>37</v>
      </c>
      <c r="X16" s="14">
        <v>2.415</v>
      </c>
      <c r="Y16" s="14" t="s">
        <v>37</v>
      </c>
      <c r="Z16" s="14">
        <v>2.417</v>
      </c>
      <c r="AB16" s="14">
        <v>2.4</v>
      </c>
      <c r="AC16" s="14"/>
      <c r="AD16" s="14"/>
      <c r="AE16" s="14"/>
      <c r="AF16" s="14"/>
      <c r="AG16" s="14"/>
      <c r="AH16" s="14"/>
      <c r="AI16" s="14"/>
      <c r="AR16" s="13"/>
    </row>
    <row r="17" spans="2:35" ht="12.75">
      <c r="B17" s="2" t="s">
        <v>76</v>
      </c>
      <c r="D17" s="2" t="s">
        <v>41</v>
      </c>
      <c r="E17" s="9" t="s">
        <v>37</v>
      </c>
      <c r="F17" s="14">
        <v>1.13</v>
      </c>
      <c r="G17" s="14" t="s">
        <v>37</v>
      </c>
      <c r="H17" s="14">
        <v>1.047</v>
      </c>
      <c r="I17" s="14" t="s">
        <v>37</v>
      </c>
      <c r="J17" s="14">
        <v>1.042</v>
      </c>
      <c r="K17" s="14"/>
      <c r="L17" s="14">
        <v>1.073</v>
      </c>
      <c r="M17" s="14" t="s">
        <v>37</v>
      </c>
      <c r="N17" s="30">
        <v>9.94E-05</v>
      </c>
      <c r="O17" s="14" t="s">
        <v>37</v>
      </c>
      <c r="P17" s="30">
        <v>0.000138</v>
      </c>
      <c r="Q17" s="14" t="s">
        <v>37</v>
      </c>
      <c r="R17" s="30">
        <v>9.046E-05</v>
      </c>
      <c r="S17" s="14"/>
      <c r="T17" s="14"/>
      <c r="U17" s="14" t="s">
        <v>37</v>
      </c>
      <c r="V17" s="14">
        <v>0.419</v>
      </c>
      <c r="W17" s="14" t="s">
        <v>37</v>
      </c>
      <c r="X17" s="14">
        <v>1.208</v>
      </c>
      <c r="Y17" s="14" t="s">
        <v>37</v>
      </c>
      <c r="Z17" s="14">
        <v>1.209</v>
      </c>
      <c r="AB17" s="14">
        <v>0.83</v>
      </c>
      <c r="AC17" s="14"/>
      <c r="AD17" s="14"/>
      <c r="AE17" s="14"/>
      <c r="AF17" s="14"/>
      <c r="AG17" s="14"/>
      <c r="AH17" s="14"/>
      <c r="AI17" s="14"/>
    </row>
    <row r="18" spans="2:44" ht="12.75">
      <c r="B18" s="2" t="s">
        <v>78</v>
      </c>
      <c r="D18" s="2" t="s">
        <v>41</v>
      </c>
      <c r="E18" s="9" t="s">
        <v>37</v>
      </c>
      <c r="F18" s="14">
        <v>4.13</v>
      </c>
      <c r="G18" s="14" t="s">
        <v>37</v>
      </c>
      <c r="H18" s="14">
        <v>0.209</v>
      </c>
      <c r="I18" s="14" t="s">
        <v>37</v>
      </c>
      <c r="J18" s="14">
        <v>1.042</v>
      </c>
      <c r="K18" s="14"/>
      <c r="L18" s="14">
        <v>0.794</v>
      </c>
      <c r="M18" s="14" t="s">
        <v>37</v>
      </c>
      <c r="N18" s="30">
        <v>0.001124</v>
      </c>
      <c r="O18" s="14" t="s">
        <v>37</v>
      </c>
      <c r="P18" s="30">
        <v>0.00153</v>
      </c>
      <c r="Q18" s="14" t="s">
        <v>37</v>
      </c>
      <c r="R18" s="30">
        <v>0.00101</v>
      </c>
      <c r="S18" s="14"/>
      <c r="T18" s="14"/>
      <c r="U18" s="14" t="s">
        <v>37</v>
      </c>
      <c r="V18" s="14">
        <v>1.197</v>
      </c>
      <c r="W18" s="14" t="s">
        <v>37</v>
      </c>
      <c r="X18" s="14">
        <v>0.181</v>
      </c>
      <c r="Y18" s="14" t="s">
        <v>37</v>
      </c>
      <c r="Z18" s="14">
        <v>0.205</v>
      </c>
      <c r="AB18" s="14">
        <v>0.53</v>
      </c>
      <c r="AC18" s="14"/>
      <c r="AD18" s="14"/>
      <c r="AE18" s="14"/>
      <c r="AF18" s="14"/>
      <c r="AG18" s="14"/>
      <c r="AH18" s="14"/>
      <c r="AI18" s="14"/>
      <c r="AR18" s="19"/>
    </row>
    <row r="19" spans="2:44" ht="12.75">
      <c r="B19" s="2" t="s">
        <v>73</v>
      </c>
      <c r="D19" s="2" t="s">
        <v>41</v>
      </c>
      <c r="E19" s="9" t="s">
        <v>37</v>
      </c>
      <c r="F19" s="14">
        <v>13.56</v>
      </c>
      <c r="G19" s="14" t="s">
        <v>37</v>
      </c>
      <c r="H19" s="14">
        <v>8.376</v>
      </c>
      <c r="I19" s="14" t="s">
        <v>37</v>
      </c>
      <c r="J19" s="14">
        <v>12.51</v>
      </c>
      <c r="K19" s="14"/>
      <c r="L19" s="14">
        <v>11.48</v>
      </c>
      <c r="M19" s="14" t="s">
        <v>37</v>
      </c>
      <c r="N19" s="30">
        <v>0.0023</v>
      </c>
      <c r="O19" s="14" t="s">
        <v>37</v>
      </c>
      <c r="P19" s="30">
        <v>0.00315</v>
      </c>
      <c r="Q19" s="14" t="s">
        <v>37</v>
      </c>
      <c r="R19" s="30">
        <v>0.00211</v>
      </c>
      <c r="S19" s="14"/>
      <c r="T19" s="14"/>
      <c r="U19" s="14" t="s">
        <v>37</v>
      </c>
      <c r="V19" s="14">
        <v>14.36</v>
      </c>
      <c r="W19" s="14" t="s">
        <v>37</v>
      </c>
      <c r="X19" s="14">
        <v>14.491</v>
      </c>
      <c r="Y19" s="14" t="s">
        <v>37</v>
      </c>
      <c r="Z19" s="14">
        <v>14.504</v>
      </c>
      <c r="AB19" s="14">
        <v>14.5</v>
      </c>
      <c r="AC19" s="14"/>
      <c r="AD19" s="14"/>
      <c r="AE19" s="14"/>
      <c r="AF19" s="14"/>
      <c r="AG19" s="14"/>
      <c r="AH19" s="14"/>
      <c r="AI19" s="14"/>
      <c r="AR19" s="12"/>
    </row>
    <row r="20" spans="6:26" ht="12.75" customHeight="1"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44" ht="12.75">
      <c r="B21" s="2" t="s">
        <v>43</v>
      </c>
      <c r="D21" s="2" t="s">
        <v>14</v>
      </c>
      <c r="F21" s="26">
        <f>emiss!$G$16</f>
        <v>37608</v>
      </c>
      <c r="H21" s="26">
        <f>emiss!$I$16</f>
        <v>39408</v>
      </c>
      <c r="J21" s="26">
        <f>emiss!$K$16</f>
        <v>42335</v>
      </c>
      <c r="L21" s="26">
        <f>emiss!$M$16</f>
        <v>39783.666666666664</v>
      </c>
      <c r="M21" s="21"/>
      <c r="N21" s="26">
        <f>emiss!$G$16</f>
        <v>37608</v>
      </c>
      <c r="P21" s="26">
        <f>emiss!$I$16</f>
        <v>39408</v>
      </c>
      <c r="R21" s="26">
        <f>emiss!$K$16</f>
        <v>42335</v>
      </c>
      <c r="T21" s="26">
        <f>emiss!$M$16</f>
        <v>39783.666666666664</v>
      </c>
      <c r="U21" s="21"/>
      <c r="V21" s="26">
        <f>emiss!$G$16</f>
        <v>37608</v>
      </c>
      <c r="X21" s="26">
        <f>emiss!$I$16</f>
        <v>39408</v>
      </c>
      <c r="Z21" s="26">
        <f>emiss!$K$16</f>
        <v>42335</v>
      </c>
      <c r="AB21" s="26">
        <f>emiss!$M$16</f>
        <v>39783.666666666664</v>
      </c>
      <c r="AC21" s="20"/>
      <c r="AD21" s="26">
        <f>emiss!$G$16</f>
        <v>37608</v>
      </c>
      <c r="AF21" s="26">
        <f>emiss!$I$16</f>
        <v>39408</v>
      </c>
      <c r="AH21" s="26">
        <f>emiss!$K$16</f>
        <v>42335</v>
      </c>
      <c r="AJ21" s="26">
        <f>emiss!$M$16</f>
        <v>39783.666666666664</v>
      </c>
      <c r="AK21" s="20"/>
      <c r="AL21" s="20"/>
      <c r="AM21" s="20"/>
      <c r="AN21" s="20"/>
      <c r="AO21" s="20"/>
      <c r="AP21" s="20"/>
      <c r="AQ21" s="20"/>
      <c r="AR21" s="12">
        <f>AJ21/9000*60*(21-AJ22)/21</f>
        <v>193.23495238095236</v>
      </c>
    </row>
    <row r="22" spans="2:44" ht="12.75">
      <c r="B22" s="2" t="s">
        <v>8</v>
      </c>
      <c r="D22" s="2" t="s">
        <v>15</v>
      </c>
      <c r="F22" s="26">
        <f>emiss!$G$17</f>
        <v>5</v>
      </c>
      <c r="H22" s="26">
        <f>emiss!$I$17</f>
        <v>5.7</v>
      </c>
      <c r="J22" s="26">
        <f>emiss!$K$17</f>
        <v>6.4</v>
      </c>
      <c r="L22" s="26">
        <f>emiss!$M$17</f>
        <v>5.7</v>
      </c>
      <c r="M22" s="21"/>
      <c r="N22" s="26">
        <f>emiss!$G$17</f>
        <v>5</v>
      </c>
      <c r="P22" s="26">
        <f>emiss!$I$17</f>
        <v>5.7</v>
      </c>
      <c r="R22" s="26">
        <f>emiss!$K$17</f>
        <v>6.4</v>
      </c>
      <c r="T22" s="26">
        <f>emiss!$M$17</f>
        <v>5.7</v>
      </c>
      <c r="U22" s="21"/>
      <c r="V22" s="26">
        <f>emiss!$G$17</f>
        <v>5</v>
      </c>
      <c r="X22" s="26">
        <f>emiss!$I$17</f>
        <v>5.7</v>
      </c>
      <c r="Z22" s="26">
        <f>emiss!$K$17</f>
        <v>6.4</v>
      </c>
      <c r="AB22" s="26">
        <f>emiss!$M$17</f>
        <v>5.7</v>
      </c>
      <c r="AC22" s="20"/>
      <c r="AD22" s="26">
        <f>emiss!$G$17</f>
        <v>5</v>
      </c>
      <c r="AF22" s="26">
        <f>emiss!$I$17</f>
        <v>5.7</v>
      </c>
      <c r="AH22" s="26">
        <f>emiss!$K$17</f>
        <v>6.4</v>
      </c>
      <c r="AJ22" s="26">
        <f>emiss!$M$17</f>
        <v>5.7</v>
      </c>
      <c r="AK22" s="20"/>
      <c r="AL22" s="20"/>
      <c r="AM22" s="20"/>
      <c r="AN22" s="20"/>
      <c r="AO22" s="20"/>
      <c r="AP22" s="20"/>
      <c r="AQ22" s="20"/>
      <c r="AR22" s="12"/>
    </row>
    <row r="23" ht="12.75" customHeight="1"/>
    <row r="24" spans="2:44" ht="12.75">
      <c r="B24" s="2" t="s">
        <v>103</v>
      </c>
      <c r="D24" s="2" t="s">
        <v>130</v>
      </c>
      <c r="F24" s="20">
        <f>40000000/1000000</f>
        <v>40</v>
      </c>
      <c r="H24" s="20">
        <f>40000000/1000000</f>
        <v>40</v>
      </c>
      <c r="J24" s="20">
        <f>40000000/1000000</f>
        <v>40</v>
      </c>
      <c r="L24" s="20">
        <f>40000000/1000000</f>
        <v>40</v>
      </c>
      <c r="AL24" s="20">
        <f>F24</f>
        <v>40</v>
      </c>
      <c r="AM24" s="14"/>
      <c r="AN24" s="20">
        <f>H24</f>
        <v>40</v>
      </c>
      <c r="AO24" s="14"/>
      <c r="AP24" s="20">
        <f>J24</f>
        <v>40</v>
      </c>
      <c r="AQ24" s="14"/>
      <c r="AR24" s="20">
        <f>L24</f>
        <v>40</v>
      </c>
    </row>
    <row r="25" spans="2:47" ht="12.75">
      <c r="B25" s="2" t="s">
        <v>52</v>
      </c>
      <c r="D25" s="2" t="s">
        <v>130</v>
      </c>
      <c r="AR25" s="12"/>
      <c r="AU25" s="16"/>
    </row>
    <row r="26" spans="44:47" ht="12.75">
      <c r="AR26" s="12"/>
      <c r="AU26" s="16"/>
    </row>
    <row r="27" spans="2:47" ht="12.75">
      <c r="B27" s="25" t="s">
        <v>70</v>
      </c>
      <c r="C27" s="25"/>
      <c r="AR27" s="12"/>
      <c r="AU27" s="16"/>
    </row>
    <row r="28" spans="2:44" ht="12.75">
      <c r="B28" s="2" t="s">
        <v>7</v>
      </c>
      <c r="D28" s="2" t="s">
        <v>13</v>
      </c>
      <c r="E28" s="9">
        <v>100</v>
      </c>
      <c r="F28" s="20">
        <f>F11/60/0.0283/F21*(21-7)/(21-F22)*1000</f>
        <v>1.3935268859919787</v>
      </c>
      <c r="G28" s="18">
        <v>100</v>
      </c>
      <c r="H28" s="20">
        <f>H11/60/0.0283/H21*(21-7)/(21-H22)*1000</f>
        <v>1.3601437537360366</v>
      </c>
      <c r="I28" s="18">
        <v>100</v>
      </c>
      <c r="J28" s="20">
        <f>J11/60/0.0283/J21*(21-7)/(21-J22)*1000</f>
        <v>72.28545347115066</v>
      </c>
      <c r="K28" s="18">
        <v>100</v>
      </c>
      <c r="L28" s="20">
        <f>AVERAGE(F28,H28,J28)</f>
        <v>25.013041370292893</v>
      </c>
      <c r="M28" s="21"/>
      <c r="N28" s="20">
        <f>N11/60/0.0283/N$21*(21-7)/(21-N$22)*1000000</f>
        <v>0</v>
      </c>
      <c r="O28" s="21"/>
      <c r="P28" s="20">
        <f>P11/60/0.0283/P$21*(21-7)/(21-P$22)*1000000</f>
        <v>0</v>
      </c>
      <c r="Q28" s="18">
        <v>100</v>
      </c>
      <c r="R28" s="20">
        <f>R11/60/0.0283/R$21*(21-7)/(21-R$22)*1000000</f>
        <v>0</v>
      </c>
      <c r="S28" s="21"/>
      <c r="T28" s="21"/>
      <c r="U28" s="18">
        <v>100</v>
      </c>
      <c r="V28" s="20">
        <f>V11/60/0.0283/V21*(21-7)/(21-V22)*1000</f>
        <v>3.2794558346481177</v>
      </c>
      <c r="W28" s="18">
        <v>100</v>
      </c>
      <c r="X28" s="20">
        <f>X11/60/0.0283/X21*(21-7)/(21-X22)*1000</f>
        <v>3.3026202049319746</v>
      </c>
      <c r="Y28" s="18">
        <v>100</v>
      </c>
      <c r="Z28" s="20">
        <f>Z11/60/0.0283/Z21*(21-7)/(21-Z22)*1000</f>
        <v>3.2245452957315046</v>
      </c>
      <c r="AA28" s="18">
        <v>100</v>
      </c>
      <c r="AB28" s="20">
        <f>AB11/60/0.0283/AB21*(21-7)/(21-AB22)*1000</f>
        <v>3.250913045197282</v>
      </c>
      <c r="AC28" s="12"/>
      <c r="AD28" s="20">
        <f>AD11/60/0.0283/AD21*(21-7)/(21-AD22)*1000</f>
        <v>149.80590097613498</v>
      </c>
      <c r="AE28" s="12"/>
      <c r="AF28" s="20">
        <f>AF11/60/0.0283/AF21*(21-7)/(21-AF22)*1000</f>
        <v>147.09040208005646</v>
      </c>
      <c r="AG28" s="12"/>
      <c r="AH28" s="20">
        <f>AH11/60/0.0283/AH21*(21-7)/(21-AH22)*1000</f>
        <v>130.0982437739131</v>
      </c>
      <c r="AI28" s="12"/>
      <c r="AJ28" s="12">
        <f>AJ11*1000/60/(AJ21/35.31)*14/(21-AJ$22)</f>
        <v>141.94808326930237</v>
      </c>
      <c r="AK28" s="12"/>
      <c r="AL28" s="12">
        <f>SUM(AD28,V28,N28,F28)</f>
        <v>154.47888369677506</v>
      </c>
      <c r="AM28" s="12"/>
      <c r="AN28" s="12">
        <f>SUM(AF28,X28,P28,H28)</f>
        <v>151.75316603872446</v>
      </c>
      <c r="AO28" s="12"/>
      <c r="AP28" s="12">
        <f>SUM(AH28,Z28,R28,J28)</f>
        <v>205.6082425407953</v>
      </c>
      <c r="AQ28" s="12"/>
      <c r="AR28" s="12">
        <f>AVERAGE(AP28,AN28,AL28)</f>
        <v>170.61343075876493</v>
      </c>
    </row>
    <row r="29" spans="2:48" ht="12.75">
      <c r="B29" s="2" t="s">
        <v>42</v>
      </c>
      <c r="D29" s="2" t="s">
        <v>11</v>
      </c>
      <c r="E29" s="9">
        <v>100</v>
      </c>
      <c r="F29" s="17">
        <f>F12/60/0.0283/F$21*(21-7)/(21-F$22)*1000000</f>
        <v>3251.530762194045</v>
      </c>
      <c r="G29" s="18">
        <v>100</v>
      </c>
      <c r="H29" s="17">
        <f>H12/60/0.0283/H$21*(21-7)/(21-H$22)*1000000</f>
        <v>3003.8986415643203</v>
      </c>
      <c r="I29" s="18">
        <v>100</v>
      </c>
      <c r="J29" s="17">
        <f aca="true" t="shared" si="0" ref="J29:J36">J12/60/0.0283/J$21*(21-7)/(21-J$22)*1000000</f>
        <v>3058.2023517949974</v>
      </c>
      <c r="K29" s="18">
        <v>100</v>
      </c>
      <c r="L29" s="17">
        <f aca="true" t="shared" si="1" ref="L29:L38">AVERAGE(F29,H29,J29)</f>
        <v>3104.543918517788</v>
      </c>
      <c r="M29" s="21"/>
      <c r="N29" s="20">
        <f>N12/60/0.0283/N$21*(21-7)/(21-N$22)*1000000</f>
        <v>2.7541411007206196</v>
      </c>
      <c r="O29" s="21"/>
      <c r="P29" s="20">
        <f>P12/60/0.0283/P$21*(21-7)/(21-P$22)*1000000</f>
        <v>4.307497938238089</v>
      </c>
      <c r="Q29" s="18">
        <v>100</v>
      </c>
      <c r="R29" s="20">
        <f>R12/60/0.0283/R$21*(21-7)/(21-R$22)*1000000</f>
        <v>269.5369306480403</v>
      </c>
      <c r="S29" s="18">
        <v>100</v>
      </c>
      <c r="T29" s="20">
        <f>AVERAGE(R29,P29,N29)</f>
        <v>92.19952322899968</v>
      </c>
      <c r="U29" s="18">
        <v>100</v>
      </c>
      <c r="V29" s="17">
        <f>V12/60/0.0283/V$21*(21-7)/(21-V$22)*1000000</f>
        <v>3771.392022698226</v>
      </c>
      <c r="W29" s="18">
        <v>100</v>
      </c>
      <c r="X29" s="17">
        <f>X12/60/0.0283/X$21*(21-7)/(21-X$22)*1000000</f>
        <v>3797.982467829355</v>
      </c>
      <c r="Y29" s="18">
        <v>100</v>
      </c>
      <c r="Z29" s="17">
        <f aca="true" t="shared" si="2" ref="Z29:Z36">Z12/60/0.0283/Z$21*(21-7)/(21-Z$22)*1000000</f>
        <v>3708.233759816328</v>
      </c>
      <c r="AA29" s="18">
        <v>100</v>
      </c>
      <c r="AB29" s="17">
        <f>AB12/60/0.0283/AB$21*(21-7)/(21-AB$22)*1000000</f>
        <v>3752.0954729985297</v>
      </c>
      <c r="AC29" s="16">
        <v>100</v>
      </c>
      <c r="AD29" s="20">
        <f>AD12/60/0.0283/AD$21*(21-7)/(21-AD$22)*1000000</f>
        <v>92.54462186202518</v>
      </c>
      <c r="AE29" s="16">
        <v>100</v>
      </c>
      <c r="AF29" s="20">
        <f>AF12/60/0.0283/AF$21*(21-7)/(21-AF$22)*1000000</f>
        <v>88.43361640185942</v>
      </c>
      <c r="AG29" s="16">
        <v>100</v>
      </c>
      <c r="AH29" s="20">
        <f>AH12/60/0.0283/AH$21*(21-7)/(21-AH$22)*1000000</f>
        <v>86.34626111475625</v>
      </c>
      <c r="AI29" s="16">
        <v>100</v>
      </c>
      <c r="AJ29" s="21">
        <f>AVERAGE(AH29,AF29,AD29)</f>
        <v>89.10816645954695</v>
      </c>
      <c r="AK29" s="18">
        <v>100</v>
      </c>
      <c r="AL29" s="12">
        <f>SUM(AD29,V29,N29,F29)</f>
        <v>7118.221547855017</v>
      </c>
      <c r="AM29" s="18">
        <v>100</v>
      </c>
      <c r="AN29" s="12">
        <f>SUM(AF29,X29,P29,H29)</f>
        <v>6894.622223733773</v>
      </c>
      <c r="AO29" s="18">
        <v>100</v>
      </c>
      <c r="AP29" s="12">
        <f>SUM(AH29,Z29,R29,J29)</f>
        <v>7122.319303374122</v>
      </c>
      <c r="AQ29" s="18">
        <v>100</v>
      </c>
      <c r="AR29" s="12">
        <f>AVERAGE(AP29,AN29,AL29)</f>
        <v>7045.05435832097</v>
      </c>
      <c r="AS29" s="16"/>
      <c r="AT29" s="16"/>
      <c r="AU29" s="16"/>
      <c r="AV29" s="16"/>
    </row>
    <row r="30" spans="2:44" ht="12.75">
      <c r="B30" s="2" t="s">
        <v>80</v>
      </c>
      <c r="D30" s="2" t="s">
        <v>11</v>
      </c>
      <c r="F30" s="20">
        <f aca="true" t="shared" si="3" ref="F30:H36">F13/60/0.0283/F$21*(21-7)/(21-F$22)*1000000</f>
        <v>0.6028965593617276</v>
      </c>
      <c r="G30" s="18">
        <v>100</v>
      </c>
      <c r="H30" s="20">
        <f t="shared" si="3"/>
        <v>0.47861088202645435</v>
      </c>
      <c r="I30" s="18">
        <v>100</v>
      </c>
      <c r="J30" s="20">
        <f t="shared" si="0"/>
        <v>0.45354130664324316</v>
      </c>
      <c r="K30" s="18">
        <f>SUM(H30,J30)/SUM(F30,H30,J30)*100</f>
        <v>60.72459847709114</v>
      </c>
      <c r="L30" s="20">
        <f t="shared" si="1"/>
        <v>0.5116829160104751</v>
      </c>
      <c r="M30" s="18">
        <v>100</v>
      </c>
      <c r="N30" s="20">
        <f aca="true" t="shared" si="4" ref="N30:N36">N13/60/0.0283/N$21*(21-7)/(21-N$22)*1000000</f>
        <v>0.01411326036687681</v>
      </c>
      <c r="O30" s="18">
        <v>100</v>
      </c>
      <c r="P30" s="20">
        <f aca="true" t="shared" si="5" ref="P30:P36">P13/60/0.0283/P$21*(21-7)/(21-P$22)*1000000</f>
        <v>0.018597451415885084</v>
      </c>
      <c r="Q30" s="18">
        <v>100</v>
      </c>
      <c r="R30" s="20">
        <f aca="true" t="shared" si="6" ref="R30:R36">R13/60/0.0283/R$21*(21-7)/(21-R$22)*1000000</f>
        <v>0.012245615279367562</v>
      </c>
      <c r="S30" s="21"/>
      <c r="T30" s="12">
        <f>AVERAGE(R30,P30,N30)</f>
        <v>0.014985442354043152</v>
      </c>
      <c r="U30" s="18">
        <v>100</v>
      </c>
      <c r="V30" s="20">
        <f aca="true" t="shared" si="7" ref="V30:V36">V13/60/0.0283/V$21*(21-7)/(21-V$22)*1000000</f>
        <v>0.5343855867069859</v>
      </c>
      <c r="W30" s="18">
        <v>100</v>
      </c>
      <c r="X30" s="20">
        <f aca="true" t="shared" si="8" ref="X30:X36">X13/60/0.0283/X$21*(21-7)/(21-X$22)*1000000</f>
        <v>0.5469838651730907</v>
      </c>
      <c r="Y30" s="18">
        <v>100</v>
      </c>
      <c r="Z30" s="20">
        <f t="shared" si="2"/>
        <v>0.5335780078155801</v>
      </c>
      <c r="AA30" s="18">
        <v>100</v>
      </c>
      <c r="AB30" s="20">
        <f aca="true" t="shared" si="9" ref="AB30:AB36">AB13/60/0.0283/AB$21*(21-7)/(21-AB$22)*1000000</f>
        <v>0.5418188408662137</v>
      </c>
      <c r="AC30" s="12"/>
      <c r="AD30" s="12"/>
      <c r="AE30" s="12"/>
      <c r="AF30" s="12"/>
      <c r="AG30" s="12"/>
      <c r="AH30" s="12"/>
      <c r="AI30" s="12"/>
      <c r="AJ30" s="21"/>
      <c r="AK30" s="18">
        <v>50</v>
      </c>
      <c r="AL30" s="12">
        <f aca="true" t="shared" si="10" ref="AL30:AP38">SUM(AD30,V30,N30,F30)</f>
        <v>1.1513954064355902</v>
      </c>
      <c r="AM30" s="18">
        <v>100</v>
      </c>
      <c r="AN30" s="12">
        <f t="shared" si="10"/>
        <v>1.0441921986154301</v>
      </c>
      <c r="AO30" s="18">
        <v>100</v>
      </c>
      <c r="AP30" s="12">
        <f t="shared" si="10"/>
        <v>0.9993649297381908</v>
      </c>
      <c r="AQ30" s="18">
        <v>100</v>
      </c>
      <c r="AR30" s="12">
        <f>AVERAGE(AP30,AN30,AL30)</f>
        <v>1.0649841782630702</v>
      </c>
    </row>
    <row r="31" spans="2:44" ht="12.75">
      <c r="B31" s="2" t="s">
        <v>79</v>
      </c>
      <c r="D31" s="2" t="s">
        <v>11</v>
      </c>
      <c r="E31" s="9">
        <v>100</v>
      </c>
      <c r="F31" s="20">
        <f t="shared" si="3"/>
        <v>63.48226726188374</v>
      </c>
      <c r="G31" s="18">
        <v>100</v>
      </c>
      <c r="H31" s="20">
        <f t="shared" si="3"/>
        <v>191.85459070946152</v>
      </c>
      <c r="I31" s="18">
        <v>100</v>
      </c>
      <c r="J31" s="20">
        <f t="shared" si="0"/>
        <v>80.62363698093415</v>
      </c>
      <c r="K31" s="18">
        <v>100</v>
      </c>
      <c r="L31" s="20">
        <f t="shared" si="1"/>
        <v>111.98683165075981</v>
      </c>
      <c r="M31" s="18">
        <v>100</v>
      </c>
      <c r="N31" s="20">
        <f t="shared" si="4"/>
        <v>0.016716677327756998</v>
      </c>
      <c r="O31" s="18">
        <v>100</v>
      </c>
      <c r="P31" s="20">
        <f t="shared" si="5"/>
        <v>0.021742608640630358</v>
      </c>
      <c r="Q31" s="18">
        <v>100</v>
      </c>
      <c r="R31" s="20">
        <f t="shared" si="6"/>
        <v>0.014633376864342284</v>
      </c>
      <c r="S31" s="21"/>
      <c r="T31" s="12">
        <f aca="true" t="shared" si="11" ref="T31:T36">AVERAGE(R31,P31,N31)</f>
        <v>0.017697554277576546</v>
      </c>
      <c r="U31" s="18">
        <v>100</v>
      </c>
      <c r="V31" s="20">
        <f t="shared" si="7"/>
        <v>88.54358105898828</v>
      </c>
      <c r="W31" s="18">
        <v>100</v>
      </c>
      <c r="X31" s="20">
        <f t="shared" si="8"/>
        <v>196.5039535634328</v>
      </c>
      <c r="Y31" s="18">
        <v>100</v>
      </c>
      <c r="Z31" s="20">
        <f t="shared" si="2"/>
        <v>53.211066829408715</v>
      </c>
      <c r="AA31" s="18">
        <v>100</v>
      </c>
      <c r="AB31" s="20">
        <f t="shared" si="9"/>
        <v>112.42740947973934</v>
      </c>
      <c r="AC31" s="12"/>
      <c r="AD31" s="12"/>
      <c r="AE31" s="12"/>
      <c r="AF31" s="12"/>
      <c r="AG31" s="12"/>
      <c r="AH31" s="12"/>
      <c r="AI31" s="12"/>
      <c r="AJ31" s="21"/>
      <c r="AK31" s="18">
        <v>100</v>
      </c>
      <c r="AL31" s="12">
        <f t="shared" si="10"/>
        <v>152.04256499819977</v>
      </c>
      <c r="AM31" s="18">
        <v>100</v>
      </c>
      <c r="AN31" s="12">
        <f t="shared" si="10"/>
        <v>388.38028688153497</v>
      </c>
      <c r="AO31" s="18">
        <v>100</v>
      </c>
      <c r="AP31" s="12">
        <f t="shared" si="10"/>
        <v>133.8493371872072</v>
      </c>
      <c r="AQ31" s="18">
        <v>100</v>
      </c>
      <c r="AR31" s="12">
        <f aca="true" t="shared" si="12" ref="AR31:AR36">AVERAGE(AP31,AN31,AL31)</f>
        <v>224.7573963556473</v>
      </c>
    </row>
    <row r="32" spans="2:45" ht="12.75">
      <c r="B32" s="2" t="s">
        <v>77</v>
      </c>
      <c r="D32" s="2" t="s">
        <v>11</v>
      </c>
      <c r="E32" s="9">
        <v>100</v>
      </c>
      <c r="F32" s="20">
        <f t="shared" si="3"/>
        <v>15.483479819971642</v>
      </c>
      <c r="G32" s="18">
        <v>100</v>
      </c>
      <c r="H32" s="20">
        <f t="shared" si="3"/>
        <v>14.317302670905647</v>
      </c>
      <c r="I32" s="18">
        <v>100</v>
      </c>
      <c r="J32" s="20">
        <f t="shared" si="0"/>
        <v>13.899707103595862</v>
      </c>
      <c r="K32" s="18">
        <v>100</v>
      </c>
      <c r="L32" s="20">
        <f t="shared" si="1"/>
        <v>14.566829864824385</v>
      </c>
      <c r="M32" s="18">
        <v>100</v>
      </c>
      <c r="N32" s="20">
        <f t="shared" si="4"/>
        <v>0.016387824659014234</v>
      </c>
      <c r="O32" s="18">
        <v>100</v>
      </c>
      <c r="P32" s="20">
        <f t="shared" si="5"/>
        <v>0.02269983040468326</v>
      </c>
      <c r="Q32" s="18">
        <v>100</v>
      </c>
      <c r="R32" s="20">
        <f t="shared" si="6"/>
        <v>0.014633376864342284</v>
      </c>
      <c r="S32" s="21"/>
      <c r="T32" s="12">
        <f t="shared" si="11"/>
        <v>0.017907010642679928</v>
      </c>
      <c r="U32" s="18">
        <v>100</v>
      </c>
      <c r="V32" s="20">
        <f t="shared" si="7"/>
        <v>16.40152685354519</v>
      </c>
      <c r="W32" s="18">
        <v>100</v>
      </c>
      <c r="X32" s="20">
        <f t="shared" si="8"/>
        <v>11.06274867312576</v>
      </c>
      <c r="Y32" s="18">
        <v>100</v>
      </c>
      <c r="Z32" s="20">
        <f t="shared" si="2"/>
        <v>16.12739528622591</v>
      </c>
      <c r="AA32" s="18">
        <v>100</v>
      </c>
      <c r="AB32" s="20">
        <f t="shared" si="9"/>
        <v>14.900018123820878</v>
      </c>
      <c r="AC32" s="12"/>
      <c r="AD32" s="12"/>
      <c r="AE32" s="12"/>
      <c r="AF32" s="12"/>
      <c r="AG32" s="12"/>
      <c r="AH32" s="12"/>
      <c r="AI32" s="12"/>
      <c r="AJ32" s="21"/>
      <c r="AK32" s="18">
        <v>100</v>
      </c>
      <c r="AL32" s="12">
        <f t="shared" si="10"/>
        <v>31.901394498175843</v>
      </c>
      <c r="AM32" s="18">
        <v>100</v>
      </c>
      <c r="AN32" s="12">
        <f t="shared" si="10"/>
        <v>25.40275117443609</v>
      </c>
      <c r="AO32" s="18">
        <v>100</v>
      </c>
      <c r="AP32" s="12">
        <f t="shared" si="10"/>
        <v>30.041735766686113</v>
      </c>
      <c r="AQ32" s="18">
        <v>100</v>
      </c>
      <c r="AR32" s="12">
        <f t="shared" si="12"/>
        <v>29.115293813099353</v>
      </c>
      <c r="AS32" s="13"/>
    </row>
    <row r="33" spans="2:44" ht="12.75">
      <c r="B33" s="2" t="s">
        <v>74</v>
      </c>
      <c r="D33" s="2" t="s">
        <v>11</v>
      </c>
      <c r="E33" s="9">
        <v>100</v>
      </c>
      <c r="F33" s="20">
        <f t="shared" si="3"/>
        <v>30.966959639943283</v>
      </c>
      <c r="G33" s="18">
        <v>100</v>
      </c>
      <c r="H33" s="20">
        <f t="shared" si="3"/>
        <v>28.634605341811294</v>
      </c>
      <c r="I33" s="18">
        <v>100</v>
      </c>
      <c r="J33" s="20">
        <f t="shared" si="0"/>
        <v>27.799414207191724</v>
      </c>
      <c r="K33" s="18">
        <v>100</v>
      </c>
      <c r="L33" s="20">
        <f t="shared" si="1"/>
        <v>29.13365972964877</v>
      </c>
      <c r="M33" s="18">
        <v>100</v>
      </c>
      <c r="N33" s="20">
        <f t="shared" si="4"/>
        <v>0.014195473534062496</v>
      </c>
      <c r="O33" s="18">
        <v>100</v>
      </c>
      <c r="P33" s="20">
        <f t="shared" si="5"/>
        <v>0.012279787773135887</v>
      </c>
      <c r="Q33" s="18">
        <v>100</v>
      </c>
      <c r="R33" s="20">
        <f t="shared" si="6"/>
        <v>0.010164661048886801</v>
      </c>
      <c r="S33" s="21"/>
      <c r="T33" s="12">
        <f t="shared" si="11"/>
        <v>0.012213307452028394</v>
      </c>
      <c r="U33" s="18">
        <v>100</v>
      </c>
      <c r="V33" s="20">
        <f t="shared" si="7"/>
        <v>32.78935151255942</v>
      </c>
      <c r="W33" s="18">
        <v>100</v>
      </c>
      <c r="X33" s="20">
        <f t="shared" si="8"/>
        <v>33.02415085982535</v>
      </c>
      <c r="Y33" s="18">
        <v>100</v>
      </c>
      <c r="Z33" s="20">
        <f t="shared" si="2"/>
        <v>32.24145112225642</v>
      </c>
      <c r="AA33" s="18">
        <v>100</v>
      </c>
      <c r="AB33" s="20">
        <f t="shared" si="9"/>
        <v>32.50913045197282</v>
      </c>
      <c r="AC33" s="12"/>
      <c r="AD33" s="12"/>
      <c r="AE33" s="12"/>
      <c r="AF33" s="12"/>
      <c r="AG33" s="12"/>
      <c r="AH33" s="12"/>
      <c r="AI33" s="12"/>
      <c r="AJ33" s="21"/>
      <c r="AK33" s="18">
        <v>100</v>
      </c>
      <c r="AL33" s="12">
        <f t="shared" si="10"/>
        <v>63.77050662603676</v>
      </c>
      <c r="AM33" s="18">
        <v>100</v>
      </c>
      <c r="AN33" s="12">
        <f t="shared" si="10"/>
        <v>61.67103598940978</v>
      </c>
      <c r="AO33" s="18">
        <v>100</v>
      </c>
      <c r="AP33" s="12">
        <f t="shared" si="10"/>
        <v>60.051029990497035</v>
      </c>
      <c r="AQ33" s="18">
        <v>100</v>
      </c>
      <c r="AR33" s="12">
        <f t="shared" si="12"/>
        <v>61.83085753531452</v>
      </c>
    </row>
    <row r="34" spans="2:44" ht="12.75">
      <c r="B34" s="2" t="s">
        <v>76</v>
      </c>
      <c r="D34" s="2" t="s">
        <v>11</v>
      </c>
      <c r="E34" s="9">
        <v>100</v>
      </c>
      <c r="F34" s="20">
        <f t="shared" si="3"/>
        <v>15.483479819971642</v>
      </c>
      <c r="G34" s="18">
        <v>100</v>
      </c>
      <c r="H34" s="20">
        <f t="shared" si="3"/>
        <v>14.317302670905647</v>
      </c>
      <c r="I34" s="18">
        <v>100</v>
      </c>
      <c r="J34" s="20">
        <f t="shared" si="0"/>
        <v>13.899707103595862</v>
      </c>
      <c r="K34" s="18">
        <v>100</v>
      </c>
      <c r="L34" s="20">
        <f t="shared" si="1"/>
        <v>14.566829864824385</v>
      </c>
      <c r="M34" s="18">
        <v>100</v>
      </c>
      <c r="N34" s="20">
        <f t="shared" si="4"/>
        <v>0.0013619981363762667</v>
      </c>
      <c r="O34" s="18">
        <v>100</v>
      </c>
      <c r="P34" s="20">
        <f t="shared" si="5"/>
        <v>0.0018870943348471626</v>
      </c>
      <c r="Q34" s="18">
        <v>100</v>
      </c>
      <c r="R34" s="20">
        <f t="shared" si="6"/>
        <v>0.0012066866646749342</v>
      </c>
      <c r="S34" s="21"/>
      <c r="T34" s="12">
        <f t="shared" si="11"/>
        <v>0.0014852597119661213</v>
      </c>
      <c r="U34" s="18">
        <v>100</v>
      </c>
      <c r="V34" s="20">
        <f t="shared" si="7"/>
        <v>5.74121950846736</v>
      </c>
      <c r="W34" s="18">
        <v>100</v>
      </c>
      <c r="X34" s="20">
        <f t="shared" si="8"/>
        <v>16.51891272822734</v>
      </c>
      <c r="Y34" s="18">
        <v>100</v>
      </c>
      <c r="Z34" s="20">
        <f t="shared" si="2"/>
        <v>16.12739528622591</v>
      </c>
      <c r="AA34" s="18">
        <v>100</v>
      </c>
      <c r="AB34" s="20">
        <f t="shared" si="9"/>
        <v>11.242740947973935</v>
      </c>
      <c r="AC34" s="12"/>
      <c r="AD34" s="12"/>
      <c r="AE34" s="12"/>
      <c r="AF34" s="12"/>
      <c r="AG34" s="12"/>
      <c r="AH34" s="12"/>
      <c r="AI34" s="12"/>
      <c r="AJ34" s="21"/>
      <c r="AK34" s="18">
        <v>100</v>
      </c>
      <c r="AL34" s="12">
        <f t="shared" si="10"/>
        <v>21.226061326575376</v>
      </c>
      <c r="AM34" s="18">
        <v>100</v>
      </c>
      <c r="AN34" s="12">
        <f t="shared" si="10"/>
        <v>30.838102493467833</v>
      </c>
      <c r="AO34" s="18">
        <v>100</v>
      </c>
      <c r="AP34" s="12">
        <f t="shared" si="10"/>
        <v>30.028309076486444</v>
      </c>
      <c r="AQ34" s="18">
        <v>100</v>
      </c>
      <c r="AR34" s="12">
        <f t="shared" si="12"/>
        <v>27.364157632176553</v>
      </c>
    </row>
    <row r="35" spans="2:44" ht="12.75">
      <c r="B35" s="2" t="s">
        <v>78</v>
      </c>
      <c r="D35" s="2" t="s">
        <v>11</v>
      </c>
      <c r="E35" s="9">
        <v>100</v>
      </c>
      <c r="F35" s="20">
        <f t="shared" si="3"/>
        <v>56.59006341281671</v>
      </c>
      <c r="G35" s="18">
        <v>100</v>
      </c>
      <c r="H35" s="20">
        <f t="shared" si="3"/>
        <v>2.857990695529399</v>
      </c>
      <c r="I35" s="18">
        <v>100</v>
      </c>
      <c r="J35" s="20">
        <f t="shared" si="0"/>
        <v>13.899707103595862</v>
      </c>
      <c r="K35" s="18">
        <v>100</v>
      </c>
      <c r="L35" s="20">
        <f t="shared" si="1"/>
        <v>24.44925373731399</v>
      </c>
      <c r="M35" s="18">
        <v>100</v>
      </c>
      <c r="N35" s="20">
        <f t="shared" si="4"/>
        <v>0.01540126665278595</v>
      </c>
      <c r="O35" s="18">
        <v>100</v>
      </c>
      <c r="P35" s="20">
        <f t="shared" si="5"/>
        <v>0.02092213284287072</v>
      </c>
      <c r="Q35" s="18">
        <v>100</v>
      </c>
      <c r="R35" s="20">
        <f t="shared" si="6"/>
        <v>0.0134728446973434</v>
      </c>
      <c r="S35" s="21"/>
      <c r="T35" s="12">
        <f t="shared" si="11"/>
        <v>0.016598748064333355</v>
      </c>
      <c r="U35" s="18">
        <v>100</v>
      </c>
      <c r="V35" s="20">
        <f t="shared" si="7"/>
        <v>16.40152685354519</v>
      </c>
      <c r="W35" s="18">
        <v>100</v>
      </c>
      <c r="X35" s="20">
        <f t="shared" si="8"/>
        <v>2.475101989908235</v>
      </c>
      <c r="Y35" s="18">
        <v>100</v>
      </c>
      <c r="Z35" s="20">
        <f t="shared" si="2"/>
        <v>2.734587290054848</v>
      </c>
      <c r="AA35" s="18">
        <v>100</v>
      </c>
      <c r="AB35" s="20">
        <f t="shared" si="9"/>
        <v>7.179099641477333</v>
      </c>
      <c r="AC35" s="12"/>
      <c r="AD35" s="12"/>
      <c r="AE35" s="12"/>
      <c r="AF35" s="12"/>
      <c r="AG35" s="12"/>
      <c r="AH35" s="12"/>
      <c r="AI35" s="12"/>
      <c r="AJ35" s="21"/>
      <c r="AK35" s="18">
        <v>100</v>
      </c>
      <c r="AL35" s="12">
        <f t="shared" si="10"/>
        <v>73.00699153301468</v>
      </c>
      <c r="AM35" s="18">
        <v>100</v>
      </c>
      <c r="AN35" s="12">
        <f t="shared" si="10"/>
        <v>5.354014818280504</v>
      </c>
      <c r="AO35" s="18">
        <v>100</v>
      </c>
      <c r="AP35" s="12">
        <f t="shared" si="10"/>
        <v>16.647767238348052</v>
      </c>
      <c r="AQ35" s="18">
        <v>100</v>
      </c>
      <c r="AR35" s="12">
        <f t="shared" si="12"/>
        <v>31.669591196547746</v>
      </c>
    </row>
    <row r="36" spans="2:44" ht="12.75">
      <c r="B36" s="2" t="s">
        <v>73</v>
      </c>
      <c r="D36" s="2" t="s">
        <v>11</v>
      </c>
      <c r="E36" s="9">
        <v>100</v>
      </c>
      <c r="F36" s="20">
        <f t="shared" si="3"/>
        <v>185.8017578396597</v>
      </c>
      <c r="G36" s="18">
        <v>100</v>
      </c>
      <c r="H36" s="20">
        <f t="shared" si="3"/>
        <v>114.53842136724518</v>
      </c>
      <c r="I36" s="18">
        <v>100</v>
      </c>
      <c r="J36" s="20">
        <f t="shared" si="0"/>
        <v>166.87652194432266</v>
      </c>
      <c r="K36" s="18">
        <v>100</v>
      </c>
      <c r="L36" s="20">
        <f t="shared" si="1"/>
        <v>155.7389003837425</v>
      </c>
      <c r="M36" s="18">
        <v>100</v>
      </c>
      <c r="N36" s="20">
        <f t="shared" si="4"/>
        <v>0.03151504742118122</v>
      </c>
      <c r="O36" s="18">
        <v>100</v>
      </c>
      <c r="P36" s="20">
        <f t="shared" si="5"/>
        <v>0.04307497938238089</v>
      </c>
      <c r="Q36" s="18">
        <v>100</v>
      </c>
      <c r="R36" s="20">
        <f t="shared" si="6"/>
        <v>0.02814623991227185</v>
      </c>
      <c r="S36" s="21"/>
      <c r="T36" s="12">
        <f t="shared" si="11"/>
        <v>0.034245422238611316</v>
      </c>
      <c r="U36" s="18">
        <v>100</v>
      </c>
      <c r="V36" s="20">
        <f t="shared" si="7"/>
        <v>196.7635134644184</v>
      </c>
      <c r="W36" s="18">
        <v>100</v>
      </c>
      <c r="X36" s="20">
        <f t="shared" si="8"/>
        <v>198.15857975558143</v>
      </c>
      <c r="Y36" s="18">
        <v>100</v>
      </c>
      <c r="Z36" s="20">
        <f t="shared" si="2"/>
        <v>193.47538563392936</v>
      </c>
      <c r="AA36" s="18">
        <v>100</v>
      </c>
      <c r="AB36" s="20">
        <f t="shared" si="9"/>
        <v>196.4093298140025</v>
      </c>
      <c r="AC36" s="12"/>
      <c r="AD36" s="12"/>
      <c r="AE36" s="12"/>
      <c r="AF36" s="12"/>
      <c r="AG36" s="12"/>
      <c r="AH36" s="12"/>
      <c r="AI36" s="12"/>
      <c r="AJ36" s="21"/>
      <c r="AK36" s="18">
        <v>100</v>
      </c>
      <c r="AL36" s="12">
        <f t="shared" si="10"/>
        <v>382.5967863514993</v>
      </c>
      <c r="AM36" s="18">
        <v>100</v>
      </c>
      <c r="AN36" s="12">
        <f t="shared" si="10"/>
        <v>312.74007610220895</v>
      </c>
      <c r="AO36" s="18">
        <v>100</v>
      </c>
      <c r="AP36" s="12">
        <f t="shared" si="10"/>
        <v>360.3800538181643</v>
      </c>
      <c r="AQ36" s="18">
        <v>100</v>
      </c>
      <c r="AR36" s="12">
        <f t="shared" si="12"/>
        <v>351.9056387572909</v>
      </c>
    </row>
    <row r="37" spans="2:44" ht="12.75">
      <c r="B37" s="2" t="s">
        <v>5</v>
      </c>
      <c r="D37" s="2" t="s">
        <v>11</v>
      </c>
      <c r="E37" s="9">
        <v>100</v>
      </c>
      <c r="F37" s="20">
        <f>SUM(F31,F32)</f>
        <v>78.96574708185538</v>
      </c>
      <c r="G37" s="18">
        <v>100</v>
      </c>
      <c r="H37" s="20">
        <f>SUM(H31,H32)</f>
        <v>206.17189338036718</v>
      </c>
      <c r="I37" s="18">
        <v>100</v>
      </c>
      <c r="J37" s="20">
        <f>SUM(J31,J32)</f>
        <v>94.52334408453001</v>
      </c>
      <c r="K37" s="18">
        <v>100</v>
      </c>
      <c r="L37" s="20">
        <f t="shared" si="1"/>
        <v>126.55366151558421</v>
      </c>
      <c r="M37" s="18">
        <v>100</v>
      </c>
      <c r="N37" s="20">
        <f>SUM(N31,N32)</f>
        <v>0.03310450198677123</v>
      </c>
      <c r="O37" s="18">
        <v>100</v>
      </c>
      <c r="P37" s="20">
        <f>SUM(P31,P32)</f>
        <v>0.044442439045313614</v>
      </c>
      <c r="Q37" s="18">
        <v>100</v>
      </c>
      <c r="R37" s="20">
        <f>SUM(R31,R32)</f>
        <v>0.029266753728684567</v>
      </c>
      <c r="S37" s="21"/>
      <c r="T37" s="20">
        <f>SUM(T31,T32)</f>
        <v>0.03560456492025647</v>
      </c>
      <c r="U37" s="18">
        <v>100</v>
      </c>
      <c r="V37" s="20">
        <f>SUM(V31,V32)/2</f>
        <v>52.47255395626674</v>
      </c>
      <c r="W37" s="18">
        <v>100</v>
      </c>
      <c r="X37" s="20">
        <f>SUM(X31,X32)</f>
        <v>207.56670223655854</v>
      </c>
      <c r="Y37" s="18">
        <v>100</v>
      </c>
      <c r="Z37" s="20">
        <f>SUM(Z31,Z32)</f>
        <v>69.33846211563463</v>
      </c>
      <c r="AA37" s="18">
        <v>100</v>
      </c>
      <c r="AB37" s="20">
        <f>AVERAGE(Z37,X37,V37)</f>
        <v>109.79257276948664</v>
      </c>
      <c r="AC37" s="12"/>
      <c r="AD37" s="12"/>
      <c r="AE37" s="12"/>
      <c r="AF37" s="12"/>
      <c r="AG37" s="12"/>
      <c r="AH37" s="12"/>
      <c r="AI37" s="12"/>
      <c r="AJ37" s="21"/>
      <c r="AK37" s="18">
        <v>100</v>
      </c>
      <c r="AL37" s="12">
        <f t="shared" si="10"/>
        <v>131.4714055401089</v>
      </c>
      <c r="AM37" s="18">
        <v>100</v>
      </c>
      <c r="AN37" s="12">
        <f t="shared" si="10"/>
        <v>413.783038055971</v>
      </c>
      <c r="AO37" s="18">
        <v>100</v>
      </c>
      <c r="AP37" s="12">
        <f t="shared" si="10"/>
        <v>163.8910729538933</v>
      </c>
      <c r="AQ37" s="18">
        <v>100</v>
      </c>
      <c r="AR37" s="12">
        <f>AVERAGE(AP37,AN37,AL37)</f>
        <v>236.38183884999106</v>
      </c>
    </row>
    <row r="38" spans="2:44" ht="12.75">
      <c r="B38" s="2" t="s">
        <v>6</v>
      </c>
      <c r="D38" s="2" t="s">
        <v>11</v>
      </c>
      <c r="E38" s="9">
        <v>100</v>
      </c>
      <c r="F38" s="20">
        <f>SUM(F35,F34,F33)</f>
        <v>103.04050287273164</v>
      </c>
      <c r="G38" s="18">
        <v>100</v>
      </c>
      <c r="H38" s="20">
        <f>SUM(H35,H34,H33)</f>
        <v>45.80989870824634</v>
      </c>
      <c r="I38" s="18">
        <v>100</v>
      </c>
      <c r="J38" s="20">
        <f>SUM(J35,J34,J33)</f>
        <v>55.59882841438345</v>
      </c>
      <c r="K38" s="18">
        <v>100</v>
      </c>
      <c r="L38" s="20">
        <f t="shared" si="1"/>
        <v>68.14974333178714</v>
      </c>
      <c r="M38" s="18">
        <v>100</v>
      </c>
      <c r="N38" s="20">
        <f>SUM(N35,N34,N33)</f>
        <v>0.030958738323224714</v>
      </c>
      <c r="O38" s="18">
        <v>100</v>
      </c>
      <c r="P38" s="20">
        <f>SUM(P35,P34,P33)</f>
        <v>0.03508901495085377</v>
      </c>
      <c r="Q38" s="18">
        <v>100</v>
      </c>
      <c r="R38" s="20">
        <f>SUM(R35,R34,R33)</f>
        <v>0.024844192410905137</v>
      </c>
      <c r="S38" s="21"/>
      <c r="T38" s="20">
        <f>SUM(T35,T34,T33)</f>
        <v>0.03029731522832787</v>
      </c>
      <c r="U38" s="18">
        <v>100</v>
      </c>
      <c r="V38" s="20">
        <f>SUM(V35,V34,V33)/2</f>
        <v>27.466048937285983</v>
      </c>
      <c r="W38" s="18">
        <v>100</v>
      </c>
      <c r="X38" s="20">
        <f>SUM(X35,X34,X33)</f>
        <v>52.01816557796092</v>
      </c>
      <c r="Y38" s="18">
        <v>100</v>
      </c>
      <c r="Z38" s="20">
        <f>SUM(Z35,Z34,Z33)</f>
        <v>51.103433698537174</v>
      </c>
      <c r="AA38" s="18">
        <v>100</v>
      </c>
      <c r="AB38" s="20">
        <f>AVERAGE(Z38,X38,V38)</f>
        <v>43.52921607126137</v>
      </c>
      <c r="AC38" s="12"/>
      <c r="AD38" s="12"/>
      <c r="AE38" s="12"/>
      <c r="AF38" s="12"/>
      <c r="AG38" s="12"/>
      <c r="AH38" s="12"/>
      <c r="AI38" s="12"/>
      <c r="AJ38" s="21"/>
      <c r="AK38" s="18">
        <v>100</v>
      </c>
      <c r="AL38" s="12">
        <f t="shared" si="10"/>
        <v>130.53751054834083</v>
      </c>
      <c r="AM38" s="18">
        <v>100</v>
      </c>
      <c r="AN38" s="12">
        <f t="shared" si="10"/>
        <v>97.86315330115812</v>
      </c>
      <c r="AO38" s="18">
        <v>100</v>
      </c>
      <c r="AP38" s="12">
        <f t="shared" si="10"/>
        <v>106.72710630533152</v>
      </c>
      <c r="AQ38" s="18">
        <v>100</v>
      </c>
      <c r="AR38" s="12">
        <f>AVERAGE(AP38,AN38,AL38)</f>
        <v>111.70925671827683</v>
      </c>
    </row>
    <row r="40" spans="2:3" ht="12.75">
      <c r="B40" s="1"/>
      <c r="C40" s="1"/>
    </row>
    <row r="41" spans="2:3" ht="12.75" customHeight="1">
      <c r="B41" s="1" t="s">
        <v>83</v>
      </c>
      <c r="C41" s="1"/>
    </row>
    <row r="43" spans="2:44" ht="12.75">
      <c r="B43" s="2" t="s">
        <v>73</v>
      </c>
      <c r="D43" s="2" t="s">
        <v>41</v>
      </c>
      <c r="E43" s="2"/>
      <c r="F43" s="2"/>
      <c r="G43" s="2"/>
      <c r="H43" s="2"/>
      <c r="I43" s="2"/>
      <c r="J43" s="2"/>
      <c r="K43" s="2"/>
      <c r="L43" s="16">
        <v>959</v>
      </c>
      <c r="AR43" s="22"/>
    </row>
    <row r="44" spans="2:12" ht="12.75">
      <c r="B44" s="2" t="s">
        <v>74</v>
      </c>
      <c r="D44" s="2" t="s">
        <v>41</v>
      </c>
      <c r="L44" s="16">
        <v>7.35</v>
      </c>
    </row>
    <row r="45" spans="2:12" ht="12.75">
      <c r="B45" s="2" t="s">
        <v>75</v>
      </c>
      <c r="D45" s="2" t="s">
        <v>41</v>
      </c>
      <c r="L45" s="16">
        <v>159858</v>
      </c>
    </row>
    <row r="46" spans="2:12" ht="12.75">
      <c r="B46" s="2" t="s">
        <v>76</v>
      </c>
      <c r="D46" s="2" t="s">
        <v>41</v>
      </c>
      <c r="L46" s="16">
        <v>13.43</v>
      </c>
    </row>
    <row r="47" spans="2:12" ht="12.75">
      <c r="B47" s="2" t="s">
        <v>77</v>
      </c>
      <c r="D47" s="2" t="s">
        <v>41</v>
      </c>
      <c r="L47" s="16">
        <v>17.9</v>
      </c>
    </row>
    <row r="48" spans="2:12" ht="12.75">
      <c r="B48" s="2" t="s">
        <v>78</v>
      </c>
      <c r="D48" s="2" t="s">
        <v>41</v>
      </c>
      <c r="L48" s="16">
        <v>2.65</v>
      </c>
    </row>
    <row r="49" spans="2:12" ht="12.75">
      <c r="B49" s="2" t="s">
        <v>79</v>
      </c>
      <c r="D49" s="2" t="s">
        <v>41</v>
      </c>
      <c r="L49" s="16">
        <v>288</v>
      </c>
    </row>
    <row r="50" spans="2:12" ht="12.75">
      <c r="B50" s="2" t="s">
        <v>80</v>
      </c>
      <c r="D50" s="2" t="s">
        <v>41</v>
      </c>
      <c r="L50" s="16">
        <v>959</v>
      </c>
    </row>
    <row r="51" spans="2:12" ht="12.75">
      <c r="B51" s="2" t="s">
        <v>81</v>
      </c>
      <c r="D51" s="2" t="s">
        <v>41</v>
      </c>
      <c r="E51" s="2"/>
      <c r="F51" s="2"/>
      <c r="G51" s="2"/>
      <c r="H51" s="2"/>
      <c r="I51" s="2"/>
      <c r="J51" s="2"/>
      <c r="K51" s="2"/>
      <c r="L51" s="16">
        <v>9591</v>
      </c>
    </row>
    <row r="52" spans="2:12" ht="12.75">
      <c r="B52" s="2" t="s">
        <v>82</v>
      </c>
      <c r="D52" s="2" t="s">
        <v>41</v>
      </c>
      <c r="E52" s="2"/>
      <c r="F52" s="2"/>
      <c r="G52" s="2"/>
      <c r="H52" s="2"/>
      <c r="I52" s="2"/>
      <c r="J52" s="2"/>
      <c r="K52" s="2"/>
      <c r="L52" s="16">
        <v>1599</v>
      </c>
    </row>
    <row r="53" spans="2:12" ht="12.75">
      <c r="B53" s="2" t="s">
        <v>42</v>
      </c>
      <c r="D53" s="2" t="s">
        <v>41</v>
      </c>
      <c r="L53" s="16">
        <v>1279</v>
      </c>
    </row>
    <row r="56" ht="6.75" customHeight="1"/>
    <row r="59" ht="7.5" customHeight="1"/>
    <row r="61" ht="12.75">
      <c r="AR61" s="13"/>
    </row>
    <row r="62" ht="12.75">
      <c r="AR62" s="13"/>
    </row>
    <row r="63" ht="12.75">
      <c r="AR63" s="16"/>
    </row>
    <row r="64" ht="12.75">
      <c r="AR64" s="16"/>
    </row>
    <row r="65" ht="12.75">
      <c r="AR65" s="13"/>
    </row>
    <row r="66" ht="12.75">
      <c r="AR66" s="13"/>
    </row>
    <row r="67" ht="12.75">
      <c r="AR67" s="13"/>
    </row>
    <row r="68" ht="12.75">
      <c r="AR68" s="13"/>
    </row>
    <row r="69" ht="12.75">
      <c r="AR69" s="13"/>
    </row>
    <row r="70" ht="12.75">
      <c r="AR70" s="13"/>
    </row>
    <row r="71" ht="12.75">
      <c r="AR71" s="13"/>
    </row>
    <row r="72" ht="12.75">
      <c r="AR72" s="13"/>
    </row>
    <row r="73" ht="12.75">
      <c r="AR73" s="13"/>
    </row>
    <row r="74" ht="12.75">
      <c r="AR74" s="13"/>
    </row>
    <row r="75" ht="12.75">
      <c r="AR75" s="13"/>
    </row>
    <row r="77" spans="2:3" ht="12.75">
      <c r="B77" s="1"/>
      <c r="C77" s="1"/>
    </row>
    <row r="78" spans="2:3" ht="7.5" customHeight="1">
      <c r="B78" s="1"/>
      <c r="C78" s="1"/>
    </row>
    <row r="88" ht="12.75">
      <c r="AR88" s="14"/>
    </row>
    <row r="89" ht="12.75">
      <c r="AR89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0" sqref="C20"/>
    </sheetView>
  </sheetViews>
  <sheetFormatPr defaultColWidth="9.140625" defaultRowHeight="12.75"/>
  <cols>
    <col min="1" max="1" width="39.421875" style="2" customWidth="1"/>
    <col min="2" max="2" width="5.7109375" style="2" customWidth="1"/>
    <col min="3" max="3" width="8.140625" style="2" hidden="1" customWidth="1"/>
    <col min="4" max="4" width="9.421875" style="2" customWidth="1"/>
    <col min="5" max="5" width="7.8515625" style="2" customWidth="1"/>
    <col min="6" max="6" width="11.28125" style="2" customWidth="1"/>
    <col min="7" max="16384" width="11.421875" style="2" customWidth="1"/>
  </cols>
  <sheetData>
    <row r="1" ht="12.75">
      <c r="A1" s="1" t="s">
        <v>44</v>
      </c>
    </row>
    <row r="3" spans="2:4" ht="12.75">
      <c r="B3" s="2" t="s">
        <v>33</v>
      </c>
      <c r="C3" s="9"/>
      <c r="D3" s="9" t="s">
        <v>45</v>
      </c>
    </row>
    <row r="4" spans="3:4" ht="12.75">
      <c r="C4" s="9"/>
      <c r="D4" s="9"/>
    </row>
    <row r="5" spans="1:5" ht="12.75">
      <c r="A5" s="1" t="s">
        <v>62</v>
      </c>
      <c r="C5" s="9"/>
      <c r="D5" s="9"/>
      <c r="E5" s="9"/>
    </row>
    <row r="6" spans="1:5" ht="12.75">
      <c r="A6" s="1"/>
      <c r="C6" s="9"/>
      <c r="D6" s="9"/>
      <c r="E6" s="9"/>
    </row>
    <row r="7" spans="1:5" ht="12.75">
      <c r="A7" s="2" t="s">
        <v>68</v>
      </c>
      <c r="B7" s="2" t="s">
        <v>16</v>
      </c>
      <c r="D7" s="2">
        <v>1584</v>
      </c>
      <c r="E7" s="9"/>
    </row>
    <row r="8" ht="12.75">
      <c r="E8" s="9"/>
    </row>
    <row r="20" spans="1:5" ht="12.75">
      <c r="A20" s="1"/>
      <c r="C20" s="9"/>
      <c r="D20" s="9"/>
      <c r="E20" s="9"/>
    </row>
    <row r="21" spans="3:5" ht="12.75">
      <c r="C21" s="9"/>
      <c r="D21" s="23"/>
      <c r="E21" s="9"/>
    </row>
    <row r="22" spans="3:5" ht="12.75">
      <c r="C22" s="9"/>
      <c r="D22" s="24"/>
      <c r="E22" s="9"/>
    </row>
    <row r="23" spans="3:5" ht="12.75">
      <c r="C23" s="9"/>
      <c r="D23" s="9"/>
      <c r="E23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2004-02-25T00:35:39Z</cp:lastPrinted>
  <dcterms:created xsi:type="dcterms:W3CDTF">2000-01-06T13:25:08Z</dcterms:created>
  <dcterms:modified xsi:type="dcterms:W3CDTF">2004-02-25T00:35:48Z</dcterms:modified>
  <cp:category/>
  <cp:version/>
  <cp:contentType/>
  <cp:contentStatus/>
</cp:coreProperties>
</file>