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ims\AppData\Local\Microsoft\Windows\Temporary Internet Files\Content.Outlook\AG6JKQ6N\"/>
    </mc:Choice>
  </mc:AlternateContent>
  <bookViews>
    <workbookView xWindow="0" yWindow="0" windowWidth="19200" windowHeight="10995"/>
  </bookViews>
  <sheets>
    <sheet name="BB3 Generation Levels" sheetId="4" r:id="rId1"/>
    <sheet name="RE Capacity Change" sheetId="6" r:id="rId2"/>
    <sheet name="Base Case Incremental RE Gen" sheetId="2" r:id="rId3"/>
    <sheet name="Regional Apportionment Weights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4" l="1"/>
  <c r="D5" i="4"/>
  <c r="E5" i="4"/>
  <c r="F5" i="4"/>
  <c r="G5" i="4"/>
  <c r="C6" i="4"/>
  <c r="D6" i="4"/>
  <c r="E6" i="4"/>
  <c r="F6" i="4"/>
  <c r="G6" i="4"/>
  <c r="C7" i="4"/>
  <c r="D7" i="4"/>
  <c r="E7" i="4"/>
  <c r="F7" i="4"/>
  <c r="G7" i="4"/>
  <c r="C8" i="4"/>
  <c r="D8" i="4"/>
  <c r="E8" i="4"/>
  <c r="F8" i="4"/>
  <c r="G8" i="4"/>
  <c r="D4" i="4"/>
  <c r="E4" i="4"/>
  <c r="F4" i="4"/>
  <c r="G4" i="4"/>
  <c r="C4" i="4"/>
  <c r="C12" i="5" l="1"/>
  <c r="D12" i="5" s="1"/>
  <c r="E12" i="5" s="1"/>
  <c r="F12" i="5" s="1"/>
  <c r="G12" i="5" s="1"/>
  <c r="H12" i="5" s="1"/>
  <c r="I12" i="5" s="1"/>
  <c r="J12" i="5" s="1"/>
  <c r="K12" i="5" s="1"/>
  <c r="L12" i="5" s="1"/>
  <c r="M13" i="5"/>
  <c r="M14" i="5"/>
  <c r="M12" i="5"/>
  <c r="C13" i="5"/>
  <c r="C14" i="5"/>
  <c r="D14" i="5" s="1"/>
  <c r="E14" i="5" s="1"/>
  <c r="F14" i="5" s="1"/>
  <c r="G14" i="5" s="1"/>
  <c r="H14" i="5" s="1"/>
  <c r="I14" i="5" s="1"/>
  <c r="J14" i="5" s="1"/>
  <c r="K14" i="5" s="1"/>
  <c r="L14" i="5" s="1"/>
  <c r="D13" i="5" l="1"/>
  <c r="E13" i="5" s="1"/>
  <c r="F13" i="5" s="1"/>
  <c r="G13" i="5" s="1"/>
  <c r="H13" i="5" s="1"/>
  <c r="I13" i="5" s="1"/>
  <c r="J13" i="5" s="1"/>
  <c r="K13" i="5" s="1"/>
  <c r="L13" i="5" s="1"/>
  <c r="D29" i="4" l="1"/>
  <c r="D42" i="4" s="1"/>
  <c r="D30" i="4"/>
  <c r="D43" i="4" s="1"/>
  <c r="D31" i="4"/>
  <c r="D44" i="4" s="1"/>
  <c r="D24" i="4"/>
  <c r="C30" i="4"/>
  <c r="C43" i="4" s="1"/>
  <c r="C31" i="4"/>
  <c r="C44" i="4" s="1"/>
  <c r="C24" i="4"/>
  <c r="C29" i="4"/>
  <c r="C42" i="4" s="1"/>
  <c r="G10" i="4"/>
  <c r="G20" i="4" s="1"/>
  <c r="F10" i="4"/>
  <c r="F20" i="4" s="1"/>
  <c r="E10" i="4"/>
  <c r="E20" i="4" s="1"/>
  <c r="D10" i="4"/>
  <c r="D20" i="4" s="1"/>
  <c r="C10" i="4"/>
  <c r="C20" i="4" s="1"/>
  <c r="G9" i="4"/>
  <c r="G19" i="4" s="1"/>
  <c r="F9" i="4"/>
  <c r="F19" i="4" s="1"/>
  <c r="E9" i="4"/>
  <c r="E19" i="4" s="1"/>
  <c r="D9" i="4"/>
  <c r="D19" i="4" s="1"/>
  <c r="C9" i="4"/>
  <c r="C19" i="4" s="1"/>
  <c r="H20" i="4" l="1"/>
  <c r="H19" i="4"/>
  <c r="E24" i="4" s="1"/>
  <c r="F24" i="4" l="1"/>
  <c r="E30" i="4"/>
  <c r="E31" i="4"/>
  <c r="E29" i="4"/>
  <c r="G24" i="4" l="1"/>
  <c r="F30" i="4"/>
  <c r="C36" i="4" s="1"/>
  <c r="E43" i="4" s="1"/>
  <c r="F43" i="4" s="1"/>
  <c r="F31" i="4"/>
  <c r="C37" i="4" s="1"/>
  <c r="E44" i="4" s="1"/>
  <c r="F44" i="4" s="1"/>
  <c r="F29" i="4"/>
  <c r="C35" i="4" s="1"/>
  <c r="E42" i="4" s="1"/>
  <c r="F42" i="4" s="1"/>
  <c r="H24" i="4" l="1"/>
  <c r="G30" i="4"/>
  <c r="G31" i="4"/>
  <c r="G29" i="4"/>
  <c r="I24" i="4" l="1"/>
  <c r="H30" i="4"/>
  <c r="H31" i="4"/>
  <c r="H29" i="4"/>
  <c r="J24" i="4" l="1"/>
  <c r="I30" i="4"/>
  <c r="I31" i="4"/>
  <c r="I29" i="4"/>
  <c r="K24" i="4" l="1"/>
  <c r="J30" i="4"/>
  <c r="J31" i="4"/>
  <c r="J29" i="4"/>
  <c r="L24" i="4" l="1"/>
  <c r="K31" i="4"/>
  <c r="K30" i="4"/>
  <c r="K29" i="4"/>
  <c r="M24" i="4" l="1"/>
  <c r="L30" i="4"/>
  <c r="L31" i="4"/>
  <c r="L29" i="4"/>
  <c r="M29" i="4" l="1"/>
  <c r="D35" i="4" s="1"/>
  <c r="G42" i="4" s="1"/>
  <c r="H42" i="4" s="1"/>
  <c r="I42" i="4" s="1"/>
  <c r="J42" i="4" s="1"/>
  <c r="K42" i="4" s="1"/>
  <c r="L42" i="4" s="1"/>
  <c r="M42" i="4" s="1"/>
  <c r="M31" i="4"/>
  <c r="D37" i="4" s="1"/>
  <c r="G44" i="4" s="1"/>
  <c r="H44" i="4" s="1"/>
  <c r="I44" i="4" s="1"/>
  <c r="J44" i="4" s="1"/>
  <c r="K44" i="4" s="1"/>
  <c r="L44" i="4" s="1"/>
  <c r="M44" i="4" s="1"/>
  <c r="M30" i="4"/>
  <c r="D36" i="4" s="1"/>
  <c r="G43" i="4" s="1"/>
  <c r="H43" i="4" s="1"/>
  <c r="I43" i="4" s="1"/>
  <c r="J43" i="4" s="1"/>
  <c r="K43" i="4" s="1"/>
  <c r="L43" i="4" s="1"/>
  <c r="M43" i="4" s="1"/>
</calcChain>
</file>

<file path=xl/sharedStrings.xml><?xml version="1.0" encoding="utf-8"?>
<sst xmlns="http://schemas.openxmlformats.org/spreadsheetml/2006/main" count="86" uniqueCount="49">
  <si>
    <t>Total</t>
  </si>
  <si>
    <t>Incremental RE Generation from the EPA IPM Base Case (GWh)*</t>
  </si>
  <si>
    <t>Utility-Scale Solar PV</t>
  </si>
  <si>
    <t>CSP</t>
  </si>
  <si>
    <t>Onshore Wind</t>
  </si>
  <si>
    <t>Geothermal</t>
  </si>
  <si>
    <t>Hydropower</t>
  </si>
  <si>
    <t>Average</t>
  </si>
  <si>
    <t>Maximum</t>
  </si>
  <si>
    <t>Year</t>
  </si>
  <si>
    <t>Historical Capacity Change by Year, 2010-2014 (MW)</t>
  </si>
  <si>
    <t>Annual Net Capacity Factor Assumed for Future Performance</t>
  </si>
  <si>
    <t>Generation by RE Technology, Historical Capacity Change and Future Performance (MWh)</t>
  </si>
  <si>
    <t>Eastern</t>
  </si>
  <si>
    <t>Western</t>
  </si>
  <si>
    <t>Texas</t>
  </si>
  <si>
    <t>Eastern Interconnection</t>
  </si>
  <si>
    <t>Western Interconnection</t>
  </si>
  <si>
    <t>Texas Interconnection</t>
  </si>
  <si>
    <t>BB3 Generation</t>
  </si>
  <si>
    <t>Incremental RE by Interconnection (MWh)*</t>
  </si>
  <si>
    <t>*Projections from IPM analysis 'BB3: Generation Assignment,' available in the docket</t>
  </si>
  <si>
    <t>Interconnection</t>
  </si>
  <si>
    <t>Incremental RE by Interconnection (% of Total, Linearly Interpolated between 2020-2030)</t>
  </si>
  <si>
    <t>National-Level BB3 Generation Levels (MWh)</t>
  </si>
  <si>
    <t>Note: 2020 Eastern Interconnection value rounded up to 69.2% to produce a sum of 100% for all regions.</t>
  </si>
  <si>
    <t>2022-2023</t>
  </si>
  <si>
    <t>2024-2030</t>
  </si>
  <si>
    <t>BB3 Interconnection Levels - Step 2 (MWh)</t>
  </si>
  <si>
    <t>BB3 Interconnection Levels - Step 1 (MWh)</t>
  </si>
  <si>
    <t>Average Change in Incremental RE (MWh)</t>
  </si>
  <si>
    <t>BB3 Interconnection Levels (MWh)</t>
  </si>
  <si>
    <t>*Bolded generation values are from run-years; other calendar year values reflect linear interpolation. EPA IPM Base Case available in the docket.</t>
  </si>
  <si>
    <t>Renewable Electricity in the United States | December 2014 (p. 21) | http://www.nrel.gov/docs/fy15osti/62580.pdf</t>
  </si>
  <si>
    <t>U.S. Renewable Electricity Nameplate Capacity Added</t>
  </si>
  <si>
    <t>Solar PV*</t>
  </si>
  <si>
    <t>Wind</t>
  </si>
  <si>
    <t xml:space="preserve">Sources: EIA, GEA, LBNL, SEIA/GTM, Larry Sherwood/IREC </t>
  </si>
  <si>
    <t xml:space="preserve">*Grid-connected, utiliy-scale only </t>
  </si>
  <si>
    <t>Note: 2013 geothermal value is inclusive of a source change from GEA to EIA.</t>
  </si>
  <si>
    <t>2014 new capacity sources:</t>
  </si>
  <si>
    <t>"U.S. Solar Market Insight 2014 Year in Review," SEIA and GTM Research, March 2015, Available at: http://www.seia.org/research-resources/us-solar-market-insight</t>
  </si>
  <si>
    <t>Solar CSP</t>
  </si>
  <si>
    <t>"U.S. Wind Industry Fourth Quarter 2014 Market Report," AWEA,  January 2015, Available at: http://awea.files.cms-plus.com/4Q2014%20AWEA%20Market%20Report%20Public%20Version.pdf</t>
  </si>
  <si>
    <t>“2015 Annual U.S. &amp; Global Geothermal Power Production Report,” Geothermal Energy Association, Feb 2015, Available at: http://geo-energy.org/reports/2015/2015%20Annual%20US%20%20Global%20Geothermal%20Power%20Production%20Report%20Draft%20final.pdf</t>
  </si>
  <si>
    <t>Biomass</t>
  </si>
  <si>
    <t>"Energy Infrastructure Update," FERC, December 2014, Available at: https://www.ferc.gov/legal/staff-reports/2014/dec-infrastructure.pdf</t>
  </si>
  <si>
    <t>Annual Change in Capacity (MW)</t>
  </si>
  <si>
    <t>Solar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</si>
</sst>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4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1" applyNumberFormat="1" applyFont="1" applyBorder="1"/>
    <xf numFmtId="164" fontId="0" fillId="0" borderId="5" xfId="1" applyNumberFormat="1" applyFont="1" applyBorder="1"/>
    <xf numFmtId="164" fontId="3" fillId="0" borderId="0" xfId="1" applyNumberFormat="1" applyFont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1" applyNumberFormat="1" applyFont="1" applyBorder="1"/>
    <xf numFmtId="164" fontId="0" fillId="0" borderId="8" xfId="1" applyNumberFormat="1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0" fillId="0" borderId="6" xfId="2" applyNumberFormat="1" applyFont="1" applyBorder="1"/>
    <xf numFmtId="165" fontId="0" fillId="0" borderId="7" xfId="2" applyNumberFormat="1" applyFont="1" applyBorder="1"/>
    <xf numFmtId="165" fontId="0" fillId="0" borderId="7" xfId="2" applyNumberFormat="1" applyFont="1" applyFill="1" applyBorder="1"/>
    <xf numFmtId="165" fontId="0" fillId="0" borderId="8" xfId="2" applyNumberFormat="1" applyFont="1" applyFill="1" applyBorder="1"/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1" fillId="0" borderId="2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164" fontId="1" fillId="0" borderId="7" xfId="1" applyNumberFormat="1" applyFont="1" applyBorder="1" applyAlignment="1">
      <alignment horizontal="center"/>
    </xf>
    <xf numFmtId="164" fontId="1" fillId="0" borderId="8" xfId="1" applyNumberFormat="1" applyFont="1" applyBorder="1" applyAlignment="1">
      <alignment horizontal="center"/>
    </xf>
    <xf numFmtId="0" fontId="4" fillId="0" borderId="0" xfId="0" applyFont="1"/>
    <xf numFmtId="0" fontId="0" fillId="0" borderId="4" xfId="0" applyBorder="1"/>
    <xf numFmtId="0" fontId="0" fillId="0" borderId="6" xfId="0" applyBorder="1"/>
    <xf numFmtId="0" fontId="3" fillId="0" borderId="6" xfId="0" applyFont="1" applyBorder="1"/>
    <xf numFmtId="0" fontId="3" fillId="0" borderId="7" xfId="0" applyNumberFormat="1" applyFont="1" applyBorder="1" applyAlignment="1">
      <alignment horizontal="center"/>
    </xf>
    <xf numFmtId="0" fontId="3" fillId="0" borderId="8" xfId="1" applyNumberFormat="1" applyFont="1" applyBorder="1" applyAlignment="1">
      <alignment horizontal="center"/>
    </xf>
    <xf numFmtId="165" fontId="0" fillId="0" borderId="0" xfId="2" applyNumberFormat="1" applyFont="1" applyBorder="1"/>
    <xf numFmtId="0" fontId="3" fillId="0" borderId="8" xfId="0" applyNumberFormat="1" applyFont="1" applyBorder="1" applyAlignment="1">
      <alignment horizontal="center"/>
    </xf>
    <xf numFmtId="165" fontId="0" fillId="0" borderId="5" xfId="2" applyNumberFormat="1" applyFont="1" applyBorder="1"/>
    <xf numFmtId="165" fontId="0" fillId="0" borderId="8" xfId="2" applyNumberFormat="1" applyFont="1" applyBorder="1"/>
    <xf numFmtId="43" fontId="0" fillId="0" borderId="0" xfId="0" applyNumberFormat="1"/>
    <xf numFmtId="0" fontId="4" fillId="0" borderId="0" xfId="0" applyFont="1" applyFill="1" applyBorder="1"/>
    <xf numFmtId="0" fontId="0" fillId="0" borderId="1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7" xfId="0" applyNumberFormat="1" applyBorder="1"/>
    <xf numFmtId="164" fontId="0" fillId="0" borderId="8" xfId="0" applyNumberFormat="1" applyBorder="1"/>
    <xf numFmtId="0" fontId="3" fillId="0" borderId="1" xfId="0" applyFont="1" applyBorder="1"/>
    <xf numFmtId="164" fontId="0" fillId="0" borderId="0" xfId="0" applyNumberFormat="1" applyBorder="1"/>
    <xf numFmtId="164" fontId="0" fillId="0" borderId="5" xfId="0" applyNumberFormat="1" applyBorder="1"/>
    <xf numFmtId="0" fontId="3" fillId="0" borderId="0" xfId="0" applyNumberFormat="1" applyFont="1" applyBorder="1"/>
    <xf numFmtId="0" fontId="3" fillId="0" borderId="5" xfId="0" applyNumberFormat="1" applyFont="1" applyBorder="1"/>
    <xf numFmtId="0" fontId="0" fillId="0" borderId="4" xfId="0" applyBorder="1" applyAlignment="1">
      <alignment horizontal="left"/>
    </xf>
    <xf numFmtId="164" fontId="3" fillId="0" borderId="0" xfId="0" applyNumberFormat="1" applyFont="1" applyBorder="1"/>
    <xf numFmtId="164" fontId="3" fillId="0" borderId="5" xfId="0" applyNumberFormat="1" applyFont="1" applyBorder="1"/>
    <xf numFmtId="0" fontId="0" fillId="0" borderId="6" xfId="0" applyBorder="1" applyAlignment="1">
      <alignment horizontal="left"/>
    </xf>
    <xf numFmtId="164" fontId="3" fillId="0" borderId="7" xfId="0" applyNumberFormat="1" applyFont="1" applyBorder="1"/>
    <xf numFmtId="164" fontId="3" fillId="0" borderId="8" xfId="0" applyNumberFormat="1" applyFont="1" applyBorder="1"/>
    <xf numFmtId="0" fontId="2" fillId="0" borderId="0" xfId="0" applyFont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workbookViewId="0"/>
  </sheetViews>
  <sheetFormatPr defaultRowHeight="15" x14ac:dyDescent="0.25"/>
  <cols>
    <col min="2" max="2" width="38" customWidth="1"/>
    <col min="3" max="7" width="21" customWidth="1"/>
    <col min="8" max="13" width="17.7109375" customWidth="1"/>
    <col min="14" max="14" width="14" customWidth="1"/>
  </cols>
  <sheetData>
    <row r="1" spans="2:7" ht="15.75" thickBot="1" x14ac:dyDescent="0.3"/>
    <row r="2" spans="2:7" ht="18.75" x14ac:dyDescent="0.3">
      <c r="B2" s="64" t="s">
        <v>10</v>
      </c>
      <c r="C2" s="65"/>
      <c r="D2" s="65"/>
      <c r="E2" s="65"/>
      <c r="F2" s="65"/>
      <c r="G2" s="66"/>
    </row>
    <row r="3" spans="2:7" ht="15.75" thickBot="1" x14ac:dyDescent="0.3">
      <c r="B3" s="13" t="s">
        <v>9</v>
      </c>
      <c r="C3" s="19" t="s">
        <v>2</v>
      </c>
      <c r="D3" s="19" t="s">
        <v>3</v>
      </c>
      <c r="E3" s="19" t="s">
        <v>4</v>
      </c>
      <c r="F3" s="19" t="s">
        <v>5</v>
      </c>
      <c r="G3" s="20" t="s">
        <v>6</v>
      </c>
    </row>
    <row r="4" spans="2:7" x14ac:dyDescent="0.25">
      <c r="B4" s="8">
        <v>2010</v>
      </c>
      <c r="C4" s="9">
        <f>'RE Capacity Change'!C6</f>
        <v>267</v>
      </c>
      <c r="D4" s="9">
        <f>'RE Capacity Change'!D6</f>
        <v>78</v>
      </c>
      <c r="E4" s="9">
        <f>'RE Capacity Change'!E6</f>
        <v>5112</v>
      </c>
      <c r="F4" s="9">
        <f>'RE Capacity Change'!F6</f>
        <v>15</v>
      </c>
      <c r="G4" s="10">
        <f>'RE Capacity Change'!G6</f>
        <v>294</v>
      </c>
    </row>
    <row r="5" spans="2:7" x14ac:dyDescent="0.25">
      <c r="B5" s="8">
        <v>2011</v>
      </c>
      <c r="C5" s="9">
        <f>'RE Capacity Change'!C7</f>
        <v>784</v>
      </c>
      <c r="D5" s="9">
        <f>'RE Capacity Change'!D7</f>
        <v>0</v>
      </c>
      <c r="E5" s="9">
        <f>'RE Capacity Change'!E7</f>
        <v>6816</v>
      </c>
      <c r="F5" s="9">
        <f>'RE Capacity Change'!F7</f>
        <v>138</v>
      </c>
      <c r="G5" s="10">
        <f>'RE Capacity Change'!G7</f>
        <v>-10</v>
      </c>
    </row>
    <row r="6" spans="2:7" x14ac:dyDescent="0.25">
      <c r="B6" s="8">
        <v>2012</v>
      </c>
      <c r="C6" s="9">
        <f>'RE Capacity Change'!C8</f>
        <v>1803</v>
      </c>
      <c r="D6" s="9">
        <f>'RE Capacity Change'!D8</f>
        <v>0</v>
      </c>
      <c r="E6" s="9">
        <f>'RE Capacity Change'!E8</f>
        <v>13131</v>
      </c>
      <c r="F6" s="9">
        <f>'RE Capacity Change'!F8</f>
        <v>147</v>
      </c>
      <c r="G6" s="10">
        <f>'RE Capacity Change'!G8</f>
        <v>47</v>
      </c>
    </row>
    <row r="7" spans="2:7" x14ac:dyDescent="0.25">
      <c r="B7" s="8">
        <v>2013</v>
      </c>
      <c r="C7" s="9">
        <f>'RE Capacity Change'!C9</f>
        <v>2847</v>
      </c>
      <c r="D7" s="9">
        <f>'RE Capacity Change'!D9</f>
        <v>410</v>
      </c>
      <c r="E7" s="9">
        <f>'RE Capacity Change'!E9</f>
        <v>1087</v>
      </c>
      <c r="F7" s="9">
        <f>'RE Capacity Change'!F9</f>
        <v>407</v>
      </c>
      <c r="G7" s="10">
        <f>'RE Capacity Change'!G9</f>
        <v>216</v>
      </c>
    </row>
    <row r="8" spans="2:7" ht="15.75" thickBot="1" x14ac:dyDescent="0.3">
      <c r="B8" s="16">
        <v>2014</v>
      </c>
      <c r="C8" s="17">
        <f>'RE Capacity Change'!C10</f>
        <v>3934</v>
      </c>
      <c r="D8" s="17">
        <f>'RE Capacity Change'!D10</f>
        <v>767</v>
      </c>
      <c r="E8" s="17">
        <f>'RE Capacity Change'!E10</f>
        <v>4854</v>
      </c>
      <c r="F8" s="17">
        <f>'RE Capacity Change'!F10</f>
        <v>3.5</v>
      </c>
      <c r="G8" s="18">
        <f>'RE Capacity Change'!G10</f>
        <v>158</v>
      </c>
    </row>
    <row r="9" spans="2:7" x14ac:dyDescent="0.25">
      <c r="B9" s="7" t="s">
        <v>7</v>
      </c>
      <c r="C9" s="11">
        <f>ROUND(AVERAGE(C4:C8),0)</f>
        <v>1927</v>
      </c>
      <c r="D9" s="11">
        <f t="shared" ref="D9:G9" si="0">ROUND(AVERAGE(D4:D8),0)</f>
        <v>251</v>
      </c>
      <c r="E9" s="11">
        <f t="shared" si="0"/>
        <v>6200</v>
      </c>
      <c r="F9" s="11">
        <f t="shared" si="0"/>
        <v>142</v>
      </c>
      <c r="G9" s="12">
        <f t="shared" si="0"/>
        <v>141</v>
      </c>
    </row>
    <row r="10" spans="2:7" ht="15.75" thickBot="1" x14ac:dyDescent="0.3">
      <c r="B10" s="13" t="s">
        <v>8</v>
      </c>
      <c r="C10" s="14">
        <f>MAX(C4:C8)</f>
        <v>3934</v>
      </c>
      <c r="D10" s="14">
        <f t="shared" ref="D10:G10" si="1">MAX(D4:D8)</f>
        <v>767</v>
      </c>
      <c r="E10" s="14">
        <f t="shared" si="1"/>
        <v>13131</v>
      </c>
      <c r="F10" s="14">
        <f t="shared" si="1"/>
        <v>407</v>
      </c>
      <c r="G10" s="15">
        <f t="shared" si="1"/>
        <v>294</v>
      </c>
    </row>
    <row r="11" spans="2:7" ht="15.75" thickBot="1" x14ac:dyDescent="0.3"/>
    <row r="12" spans="2:7" ht="18.75" x14ac:dyDescent="0.3">
      <c r="C12" s="64" t="s">
        <v>11</v>
      </c>
      <c r="D12" s="65"/>
      <c r="E12" s="65"/>
      <c r="F12" s="65"/>
      <c r="G12" s="66"/>
    </row>
    <row r="13" spans="2:7" ht="15.75" thickBot="1" x14ac:dyDescent="0.3">
      <c r="C13" s="13" t="s">
        <v>2</v>
      </c>
      <c r="D13" s="19" t="s">
        <v>3</v>
      </c>
      <c r="E13" s="19" t="s">
        <v>4</v>
      </c>
      <c r="F13" s="19" t="s">
        <v>5</v>
      </c>
      <c r="G13" s="20" t="s">
        <v>6</v>
      </c>
    </row>
    <row r="14" spans="2:7" ht="15.75" thickBot="1" x14ac:dyDescent="0.3">
      <c r="C14" s="21">
        <v>0.20699999999999999</v>
      </c>
      <c r="D14" s="22">
        <v>0.34300000000000003</v>
      </c>
      <c r="E14" s="23">
        <v>0.41799999999999998</v>
      </c>
      <c r="F14" s="23">
        <v>0.85</v>
      </c>
      <c r="G14" s="24">
        <v>0.63800000000000001</v>
      </c>
    </row>
    <row r="16" spans="2:7" ht="15.75" thickBot="1" x14ac:dyDescent="0.3"/>
    <row r="17" spans="2:13" ht="19.5" thickBot="1" x14ac:dyDescent="0.35">
      <c r="B17" s="67" t="s">
        <v>12</v>
      </c>
      <c r="C17" s="68"/>
      <c r="D17" s="68"/>
      <c r="E17" s="68"/>
      <c r="F17" s="68"/>
      <c r="G17" s="68"/>
      <c r="H17" s="69"/>
    </row>
    <row r="18" spans="2:13" ht="15.75" thickBot="1" x14ac:dyDescent="0.3">
      <c r="B18" s="13" t="s">
        <v>9</v>
      </c>
      <c r="C18" s="19" t="s">
        <v>2</v>
      </c>
      <c r="D18" s="19" t="s">
        <v>3</v>
      </c>
      <c r="E18" s="19" t="s">
        <v>4</v>
      </c>
      <c r="F18" s="19" t="s">
        <v>5</v>
      </c>
      <c r="G18" s="20" t="s">
        <v>6</v>
      </c>
      <c r="H18" s="20" t="s">
        <v>0</v>
      </c>
    </row>
    <row r="19" spans="2:13" x14ac:dyDescent="0.25">
      <c r="B19" s="26" t="s">
        <v>7</v>
      </c>
      <c r="C19" s="27">
        <f>C9*C$14*8760</f>
        <v>3494267.6399999997</v>
      </c>
      <c r="D19" s="27">
        <f t="shared" ref="D19:G19" si="2">D9*D$14*8760</f>
        <v>754174.68</v>
      </c>
      <c r="E19" s="27">
        <f t="shared" si="2"/>
        <v>22702416</v>
      </c>
      <c r="F19" s="27">
        <f t="shared" si="2"/>
        <v>1057332</v>
      </c>
      <c r="G19" s="28">
        <f t="shared" si="2"/>
        <v>788032.08</v>
      </c>
      <c r="H19" s="28">
        <f>SUM(C19:G19)</f>
        <v>28796222.399999999</v>
      </c>
    </row>
    <row r="20" spans="2:13" ht="15.75" thickBot="1" x14ac:dyDescent="0.3">
      <c r="B20" s="25" t="s">
        <v>8</v>
      </c>
      <c r="C20" s="29">
        <f>C10*C$14*8760</f>
        <v>7133600.8799999999</v>
      </c>
      <c r="D20" s="29">
        <f t="shared" ref="D20:G20" si="3">D10*D$14*8760</f>
        <v>2304589.56</v>
      </c>
      <c r="E20" s="29">
        <f t="shared" si="3"/>
        <v>48081520.079999998</v>
      </c>
      <c r="F20" s="29">
        <f t="shared" si="3"/>
        <v>3030522</v>
      </c>
      <c r="G20" s="30">
        <f t="shared" si="3"/>
        <v>1643130.72</v>
      </c>
      <c r="H20" s="30">
        <f>SUM(C20:G20)</f>
        <v>62193363.239999995</v>
      </c>
    </row>
    <row r="22" spans="2:13" ht="19.5" thickBot="1" x14ac:dyDescent="0.35">
      <c r="B22" s="6" t="s">
        <v>24</v>
      </c>
    </row>
    <row r="23" spans="2:13" x14ac:dyDescent="0.25">
      <c r="B23" s="43"/>
      <c r="C23" s="44">
        <v>2020</v>
      </c>
      <c r="D23" s="44">
        <v>2021</v>
      </c>
      <c r="E23" s="44">
        <v>2022</v>
      </c>
      <c r="F23" s="44">
        <v>2023</v>
      </c>
      <c r="G23" s="44">
        <v>2024</v>
      </c>
      <c r="H23" s="44">
        <v>2025</v>
      </c>
      <c r="I23" s="44">
        <v>2026</v>
      </c>
      <c r="J23" s="44">
        <v>2027</v>
      </c>
      <c r="K23" s="44">
        <v>2028</v>
      </c>
      <c r="L23" s="44">
        <v>2029</v>
      </c>
      <c r="M23" s="45">
        <v>2030</v>
      </c>
    </row>
    <row r="24" spans="2:13" ht="15.75" thickBot="1" x14ac:dyDescent="0.3">
      <c r="B24" s="33" t="s">
        <v>19</v>
      </c>
      <c r="C24" s="17">
        <f>'Base Case Incremental RE Gen'!C7*10^3</f>
        <v>202219817.64945671</v>
      </c>
      <c r="D24" s="17">
        <f>'Base Case Incremental RE Gen'!D7*10^3</f>
        <v>213084124.79267603</v>
      </c>
      <c r="E24" s="46">
        <f>D24+$H$19</f>
        <v>241880347.19267604</v>
      </c>
      <c r="F24" s="46">
        <f>E24+$H$19</f>
        <v>270676569.59267604</v>
      </c>
      <c r="G24" s="46">
        <f>F24+$H$20</f>
        <v>332869932.83267605</v>
      </c>
      <c r="H24" s="46">
        <f t="shared" ref="H24:M24" si="4">G24+$H$20</f>
        <v>395063296.07267606</v>
      </c>
      <c r="I24" s="46">
        <f t="shared" si="4"/>
        <v>457256659.31267607</v>
      </c>
      <c r="J24" s="46">
        <f t="shared" si="4"/>
        <v>519450022.55267608</v>
      </c>
      <c r="K24" s="46">
        <f t="shared" si="4"/>
        <v>581643385.79267609</v>
      </c>
      <c r="L24" s="46">
        <f t="shared" si="4"/>
        <v>643836749.0326761</v>
      </c>
      <c r="M24" s="47">
        <f t="shared" si="4"/>
        <v>706030112.27267611</v>
      </c>
    </row>
    <row r="25" spans="2:13" x14ac:dyDescent="0.25"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</row>
    <row r="27" spans="2:13" ht="15.75" thickBot="1" x14ac:dyDescent="0.3">
      <c r="B27" s="4" t="s">
        <v>29</v>
      </c>
    </row>
    <row r="28" spans="2:13" x14ac:dyDescent="0.25">
      <c r="B28" s="48" t="s">
        <v>22</v>
      </c>
      <c r="C28" s="44">
        <v>2020</v>
      </c>
      <c r="D28" s="44">
        <v>2021</v>
      </c>
      <c r="E28" s="44">
        <v>2022</v>
      </c>
      <c r="F28" s="44">
        <v>2023</v>
      </c>
      <c r="G28" s="44">
        <v>2024</v>
      </c>
      <c r="H28" s="44">
        <v>2025</v>
      </c>
      <c r="I28" s="44">
        <v>2026</v>
      </c>
      <c r="J28" s="44">
        <v>2027</v>
      </c>
      <c r="K28" s="44">
        <v>2028</v>
      </c>
      <c r="L28" s="44">
        <v>2029</v>
      </c>
      <c r="M28" s="45">
        <v>2030</v>
      </c>
    </row>
    <row r="29" spans="2:13" x14ac:dyDescent="0.25">
      <c r="B29" s="32" t="s">
        <v>13</v>
      </c>
      <c r="C29" s="9">
        <f>'Base Case Incremental RE Gen'!C4*10^3</f>
        <v>143091811.65361759</v>
      </c>
      <c r="D29" s="9">
        <f>'Base Case Incremental RE Gen'!D4*10^3</f>
        <v>150963492.53915915</v>
      </c>
      <c r="E29" s="9">
        <f>E24*VLOOKUP($B29,'Regional Apportionment Weights'!$B$12:$M$14,'BB3 Generation Levels'!E$23-2018,0)</f>
        <v>163946499.32719579</v>
      </c>
      <c r="F29" s="9">
        <f>F24*VLOOKUP($B29,'Regional Apportionment Weights'!$B$12:$M$14,'BB3 Generation Levels'!F$23-2018,0)</f>
        <v>181542775.22580782</v>
      </c>
      <c r="G29" s="9">
        <f>G24*VLOOKUP($B29,'Regional Apportionment Weights'!$B$12:$M$14,'BB3 Generation Levels'!G$23-2018,0)</f>
        <v>220892487.42776382</v>
      </c>
      <c r="H29" s="9">
        <f>H24*VLOOKUP($B29,'Regional Apportionment Weights'!$B$12:$M$14,'BB3 Generation Levels'!H$23-2018,0)</f>
        <v>259359053.87171182</v>
      </c>
      <c r="I29" s="9">
        <f>I24*VLOOKUP($B29,'Regional Apportionment Weights'!$B$12:$M$14,'BB3 Generation Levels'!I$23-2018,0)</f>
        <v>296942474.55765182</v>
      </c>
      <c r="J29" s="9">
        <f>J24*VLOOKUP($B29,'Regional Apportionment Weights'!$B$12:$M$14,'BB3 Generation Levels'!J$23-2018,0)</f>
        <v>333642749.48558384</v>
      </c>
      <c r="K29" s="9">
        <f>K24*VLOOKUP($B29,'Regional Apportionment Weights'!$B$12:$M$14,'BB3 Generation Levels'!K$23-2018,0)</f>
        <v>369459878.65550786</v>
      </c>
      <c r="L29" s="9">
        <f>L24*VLOOKUP($B29,'Regional Apportionment Weights'!$B$12:$M$14,'BB3 Generation Levels'!L$23-2018,0)</f>
        <v>404393862.06742388</v>
      </c>
      <c r="M29" s="10">
        <f>M24*VLOOKUP($B29,'Regional Apportionment Weights'!$B$12:$M$14,'BB3 Generation Levels'!M$23-2018,0)</f>
        <v>438444699.72133183</v>
      </c>
    </row>
    <row r="30" spans="2:13" x14ac:dyDescent="0.25">
      <c r="B30" s="32" t="s">
        <v>14</v>
      </c>
      <c r="C30" s="9">
        <f>'Base Case Incremental RE Gen'!C5*10^3</f>
        <v>49757695.852711067</v>
      </c>
      <c r="D30" s="9">
        <f>'Base Case Incremental RE Gen'!D5*10^3</f>
        <v>52370718.410970077</v>
      </c>
      <c r="E30" s="9">
        <f>E24*VLOOKUP($B30,'Regional Apportionment Weights'!$B$12:$M$14,'BB3 Generation Levels'!E$23-2018,0)</f>
        <v>54374702.048913583</v>
      </c>
      <c r="F30" s="9">
        <f>F24*VLOOKUP($B30,'Regional Apportionment Weights'!$B$12:$M$14,'BB3 Generation Levels'!F$23-2018,0)</f>
        <v>60956363.472270653</v>
      </c>
      <c r="G30" s="9">
        <f>G24*VLOOKUP($B30,'Regional Apportionment Weights'!$B$12:$M$14,'BB3 Generation Levels'!G$23-2018,0)</f>
        <v>75095456.84705174</v>
      </c>
      <c r="H30" s="9">
        <f>H24*VLOOKUP($B30,'Regional Apportionment Weights'!$B$12:$M$14,'BB3 Generation Levels'!H$23-2018,0)</f>
        <v>89284304.912424818</v>
      </c>
      <c r="I30" s="9">
        <f>I24*VLOOKUP($B30,'Regional Apportionment Weights'!$B$12:$M$14,'BB3 Generation Levels'!I$23-2018,0)</f>
        <v>103522907.6683899</v>
      </c>
      <c r="J30" s="9">
        <f>J24*VLOOKUP($B30,'Regional Apportionment Weights'!$B$12:$M$14,'BB3 Generation Levels'!J$23-2018,0)</f>
        <v>117811265.11494698</v>
      </c>
      <c r="K30" s="9">
        <f>K24*VLOOKUP($B30,'Regional Apportionment Weights'!$B$12:$M$14,'BB3 Generation Levels'!K$23-2018,0)</f>
        <v>132149377.25209606</v>
      </c>
      <c r="L30" s="9">
        <f>L24*VLOOKUP($B30,'Regional Apportionment Weights'!$B$12:$M$14,'BB3 Generation Levels'!L$23-2018,0)</f>
        <v>146537244.07983714</v>
      </c>
      <c r="M30" s="10">
        <f>M24*VLOOKUP($B30,'Regional Apportionment Weights'!$B$12:$M$14,'BB3 Generation Levels'!M$23-2018,0)</f>
        <v>160974865.59817016</v>
      </c>
    </row>
    <row r="31" spans="2:13" ht="15.75" thickBot="1" x14ac:dyDescent="0.3">
      <c r="B31" s="33" t="s">
        <v>15</v>
      </c>
      <c r="C31" s="17">
        <f>'Base Case Incremental RE Gen'!C6*10^3</f>
        <v>9370310.14312803</v>
      </c>
      <c r="D31" s="17">
        <f>'Base Case Incremental RE Gen'!D6*10^3</f>
        <v>9749913.84254683</v>
      </c>
      <c r="E31" s="17">
        <f>E24*VLOOKUP($B31,'Regional Apportionment Weights'!$B$12:$M$14,'BB3 Generation Levels'!E$23-2018,0)</f>
        <v>23559145.816566646</v>
      </c>
      <c r="F31" s="17">
        <f>F24*VLOOKUP($B31,'Regional Apportionment Weights'!$B$12:$M$14,'BB3 Generation Levels'!F$23-2018,0)</f>
        <v>28177430.894597575</v>
      </c>
      <c r="G31" s="17">
        <f>G24*VLOOKUP($B31,'Regional Apportionment Weights'!$B$12:$M$14,'BB3 Generation Levels'!G$23-2018,0)</f>
        <v>36881988.557860509</v>
      </c>
      <c r="H31" s="17">
        <f>H24*VLOOKUP($B31,'Regional Apportionment Weights'!$B$12:$M$14,'BB3 Generation Levels'!H$23-2018,0)</f>
        <v>46419937.288539432</v>
      </c>
      <c r="I31" s="17">
        <f>I24*VLOOKUP($B31,'Regional Apportionment Weights'!$B$12:$M$14,'BB3 Generation Levels'!I$23-2018,0)</f>
        <v>56791277.086634368</v>
      </c>
      <c r="J31" s="17">
        <f>J24*VLOOKUP($B31,'Regional Apportionment Weights'!$B$12:$M$14,'BB3 Generation Levels'!J$23-2018,0)</f>
        <v>67996007.952145293</v>
      </c>
      <c r="K31" s="17">
        <f>K24*VLOOKUP($B31,'Regional Apportionment Weights'!$B$12:$M$14,'BB3 Generation Levels'!K$23-2018,0)</f>
        <v>80034129.885072231</v>
      </c>
      <c r="L31" s="17">
        <f>L24*VLOOKUP($B31,'Regional Apportionment Weights'!$B$12:$M$14,'BB3 Generation Levels'!L$23-2018,0)</f>
        <v>92905642.885415167</v>
      </c>
      <c r="M31" s="18">
        <f>M24*VLOOKUP($B31,'Regional Apportionment Weights'!$B$12:$M$14,'BB3 Generation Levels'!M$23-2018,0)</f>
        <v>106610546.95317408</v>
      </c>
    </row>
    <row r="33" spans="2:13" ht="15.75" thickBot="1" x14ac:dyDescent="0.3">
      <c r="B33" s="4" t="s">
        <v>28</v>
      </c>
    </row>
    <row r="34" spans="2:13" x14ac:dyDescent="0.25">
      <c r="B34" s="48" t="s">
        <v>30</v>
      </c>
      <c r="C34" s="44" t="s">
        <v>26</v>
      </c>
      <c r="D34" s="45" t="s">
        <v>27</v>
      </c>
    </row>
    <row r="35" spans="2:13" x14ac:dyDescent="0.25">
      <c r="B35" s="32" t="s">
        <v>13</v>
      </c>
      <c r="C35" s="49">
        <f>AVERAGE(E29-D29,F29-E29)</f>
        <v>15289641.343324333</v>
      </c>
      <c r="D35" s="50">
        <f>AVERAGE(G29-F29,H29-G29,I29-H29,J29-I29,K29-J29,L29-K29,M29-L29)</f>
        <v>36700274.927932002</v>
      </c>
      <c r="E35" s="41"/>
    </row>
    <row r="36" spans="2:13" x14ac:dyDescent="0.25">
      <c r="B36" s="32" t="s">
        <v>14</v>
      </c>
      <c r="C36" s="49">
        <f t="shared" ref="C36:C37" si="5">AVERAGE(E30-D30,F30-E30)</f>
        <v>4292822.5306502879</v>
      </c>
      <c r="D36" s="50">
        <f t="shared" ref="D36:D37" si="6">AVERAGE(G30-F30,H30-G30,I30-H30,J30-I30,K30-J30,L30-K30,M30-L30)</f>
        <v>14288357.446557073</v>
      </c>
    </row>
    <row r="37" spans="2:13" ht="15.75" thickBot="1" x14ac:dyDescent="0.3">
      <c r="B37" s="33" t="s">
        <v>15</v>
      </c>
      <c r="C37" s="46">
        <f t="shared" si="5"/>
        <v>9213758.5260253735</v>
      </c>
      <c r="D37" s="47">
        <f t="shared" si="6"/>
        <v>11204730.865510929</v>
      </c>
    </row>
    <row r="40" spans="2:13" ht="19.5" thickBot="1" x14ac:dyDescent="0.35">
      <c r="B40" s="6" t="s">
        <v>31</v>
      </c>
    </row>
    <row r="41" spans="2:13" x14ac:dyDescent="0.25">
      <c r="B41" s="48" t="s">
        <v>22</v>
      </c>
      <c r="C41" s="44">
        <v>2020</v>
      </c>
      <c r="D41" s="44">
        <v>2021</v>
      </c>
      <c r="E41" s="44">
        <v>2022</v>
      </c>
      <c r="F41" s="44">
        <v>2023</v>
      </c>
      <c r="G41" s="44">
        <v>2024</v>
      </c>
      <c r="H41" s="44">
        <v>2025</v>
      </c>
      <c r="I41" s="44">
        <v>2026</v>
      </c>
      <c r="J41" s="44">
        <v>2027</v>
      </c>
      <c r="K41" s="44">
        <v>2028</v>
      </c>
      <c r="L41" s="44">
        <v>2029</v>
      </c>
      <c r="M41" s="45">
        <v>2030</v>
      </c>
    </row>
    <row r="42" spans="2:13" x14ac:dyDescent="0.25">
      <c r="B42" s="32" t="s">
        <v>13</v>
      </c>
      <c r="C42" s="9">
        <f>C29</f>
        <v>143091811.65361759</v>
      </c>
      <c r="D42" s="9">
        <f t="shared" ref="D42" si="7">D29</f>
        <v>150963492.53915915</v>
      </c>
      <c r="E42" s="9">
        <f>D42+C35</f>
        <v>166253133.88248348</v>
      </c>
      <c r="F42" s="9">
        <f>E42+C35</f>
        <v>181542775.22580782</v>
      </c>
      <c r="G42" s="9">
        <f>F42+$D35</f>
        <v>218243050.15373981</v>
      </c>
      <c r="H42" s="9">
        <f t="shared" ref="H42:M42" si="8">G42+$D35</f>
        <v>254943325.0816718</v>
      </c>
      <c r="I42" s="9">
        <f t="shared" si="8"/>
        <v>291643600.0096038</v>
      </c>
      <c r="J42" s="9">
        <f t="shared" si="8"/>
        <v>328343874.93753582</v>
      </c>
      <c r="K42" s="9">
        <f t="shared" si="8"/>
        <v>365044149.86546785</v>
      </c>
      <c r="L42" s="9">
        <f t="shared" si="8"/>
        <v>401744424.79339987</v>
      </c>
      <c r="M42" s="10">
        <f t="shared" si="8"/>
        <v>438444699.72133189</v>
      </c>
    </row>
    <row r="43" spans="2:13" x14ac:dyDescent="0.25">
      <c r="B43" s="32" t="s">
        <v>14</v>
      </c>
      <c r="C43" s="9">
        <f t="shared" ref="C43:D43" si="9">C30</f>
        <v>49757695.852711067</v>
      </c>
      <c r="D43" s="9">
        <f t="shared" si="9"/>
        <v>52370718.410970077</v>
      </c>
      <c r="E43" s="9">
        <f t="shared" ref="E43:E44" si="10">D43+C36</f>
        <v>56663540.941620365</v>
      </c>
      <c r="F43" s="9">
        <f t="shared" ref="F43:F44" si="11">E43+C36</f>
        <v>60956363.472270653</v>
      </c>
      <c r="G43" s="9">
        <f t="shared" ref="G43:M43" si="12">F43+$D36</f>
        <v>75244720.918827727</v>
      </c>
      <c r="H43" s="9">
        <f t="shared" si="12"/>
        <v>89533078.365384802</v>
      </c>
      <c r="I43" s="9">
        <f t="shared" si="12"/>
        <v>103821435.81194188</v>
      </c>
      <c r="J43" s="9">
        <f t="shared" si="12"/>
        <v>118109793.25849895</v>
      </c>
      <c r="K43" s="9">
        <f t="shared" si="12"/>
        <v>132398150.70505603</v>
      </c>
      <c r="L43" s="9">
        <f t="shared" si="12"/>
        <v>146686508.15161309</v>
      </c>
      <c r="M43" s="10">
        <f t="shared" si="12"/>
        <v>160974865.59817016</v>
      </c>
    </row>
    <row r="44" spans="2:13" ht="15.75" thickBot="1" x14ac:dyDescent="0.3">
      <c r="B44" s="33" t="s">
        <v>15</v>
      </c>
      <c r="C44" s="17">
        <f t="shared" ref="C44:D44" si="13">C31</f>
        <v>9370310.14312803</v>
      </c>
      <c r="D44" s="17">
        <f t="shared" si="13"/>
        <v>9749913.84254683</v>
      </c>
      <c r="E44" s="17">
        <f t="shared" si="10"/>
        <v>18963672.368572205</v>
      </c>
      <c r="F44" s="17">
        <f t="shared" si="11"/>
        <v>28177430.894597579</v>
      </c>
      <c r="G44" s="17">
        <f t="shared" ref="G44:M44" si="14">F44+$D37</f>
        <v>39382161.760108508</v>
      </c>
      <c r="H44" s="17">
        <f t="shared" si="14"/>
        <v>50586892.625619441</v>
      </c>
      <c r="I44" s="17">
        <f t="shared" si="14"/>
        <v>61791623.491130367</v>
      </c>
      <c r="J44" s="17">
        <f t="shared" si="14"/>
        <v>72996354.356641293</v>
      </c>
      <c r="K44" s="17">
        <f t="shared" si="14"/>
        <v>84201085.222152218</v>
      </c>
      <c r="L44" s="17">
        <f t="shared" si="14"/>
        <v>95405816.087663144</v>
      </c>
      <c r="M44" s="18">
        <f t="shared" si="14"/>
        <v>106610546.95317407</v>
      </c>
    </row>
    <row r="45" spans="2:13" x14ac:dyDescent="0.25">
      <c r="E45" s="1"/>
      <c r="F45" s="1"/>
      <c r="G45" s="1"/>
      <c r="H45" s="1"/>
      <c r="I45" s="1"/>
      <c r="J45" s="1"/>
      <c r="K45" s="1"/>
      <c r="L45" s="1"/>
      <c r="M45" s="1"/>
    </row>
  </sheetData>
  <mergeCells count="3">
    <mergeCell ref="B2:G2"/>
    <mergeCell ref="C12:G12"/>
    <mergeCell ref="B17:H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workbookViewId="0"/>
  </sheetViews>
  <sheetFormatPr defaultRowHeight="15" x14ac:dyDescent="0.25"/>
  <cols>
    <col min="2" max="7" width="15.28515625" customWidth="1"/>
  </cols>
  <sheetData>
    <row r="2" spans="2:7" ht="18.75" x14ac:dyDescent="0.3">
      <c r="B2" s="6" t="s">
        <v>47</v>
      </c>
    </row>
    <row r="3" spans="2:7" x14ac:dyDescent="0.25">
      <c r="B3" t="s">
        <v>33</v>
      </c>
    </row>
    <row r="4" spans="2:7" x14ac:dyDescent="0.25">
      <c r="B4" t="s">
        <v>34</v>
      </c>
    </row>
    <row r="5" spans="2:7" x14ac:dyDescent="0.25">
      <c r="B5" s="60"/>
      <c r="C5" s="60" t="s">
        <v>35</v>
      </c>
      <c r="D5" s="61" t="s">
        <v>3</v>
      </c>
      <c r="E5" s="61" t="s">
        <v>36</v>
      </c>
      <c r="F5" s="60" t="s">
        <v>5</v>
      </c>
      <c r="G5" s="61" t="s">
        <v>6</v>
      </c>
    </row>
    <row r="6" spans="2:7" x14ac:dyDescent="0.25">
      <c r="B6" s="60">
        <v>2010</v>
      </c>
      <c r="C6" s="62">
        <v>267</v>
      </c>
      <c r="D6" s="62">
        <v>78</v>
      </c>
      <c r="E6" s="63">
        <v>5112</v>
      </c>
      <c r="F6" s="62">
        <v>15</v>
      </c>
      <c r="G6" s="62">
        <v>294</v>
      </c>
    </row>
    <row r="7" spans="2:7" x14ac:dyDescent="0.25">
      <c r="B7" s="60">
        <v>2011</v>
      </c>
      <c r="C7" s="63">
        <v>784</v>
      </c>
      <c r="D7" s="62">
        <v>0</v>
      </c>
      <c r="E7" s="63">
        <v>6816</v>
      </c>
      <c r="F7" s="62">
        <v>138</v>
      </c>
      <c r="G7" s="62">
        <v>-10</v>
      </c>
    </row>
    <row r="8" spans="2:7" x14ac:dyDescent="0.25">
      <c r="B8" s="60">
        <v>2012</v>
      </c>
      <c r="C8" s="63">
        <v>1803</v>
      </c>
      <c r="D8" s="62">
        <v>0</v>
      </c>
      <c r="E8" s="63">
        <v>13131</v>
      </c>
      <c r="F8" s="62">
        <v>147</v>
      </c>
      <c r="G8" s="62">
        <v>47</v>
      </c>
    </row>
    <row r="9" spans="2:7" x14ac:dyDescent="0.25">
      <c r="B9" s="60">
        <v>2013</v>
      </c>
      <c r="C9" s="63">
        <v>2847</v>
      </c>
      <c r="D9" s="62">
        <v>410</v>
      </c>
      <c r="E9" s="63">
        <v>1087</v>
      </c>
      <c r="F9" s="62">
        <v>407</v>
      </c>
      <c r="G9" s="62">
        <v>216</v>
      </c>
    </row>
    <row r="10" spans="2:7" x14ac:dyDescent="0.25">
      <c r="B10" s="60">
        <v>2014</v>
      </c>
      <c r="C10" s="63">
        <v>3934</v>
      </c>
      <c r="D10" s="62">
        <v>767</v>
      </c>
      <c r="E10" s="63">
        <v>4854</v>
      </c>
      <c r="F10" s="63">
        <v>3.5</v>
      </c>
      <c r="G10" s="63">
        <v>158</v>
      </c>
    </row>
    <row r="12" spans="2:7" x14ac:dyDescent="0.25">
      <c r="B12" t="s">
        <v>37</v>
      </c>
    </row>
    <row r="13" spans="2:7" x14ac:dyDescent="0.25">
      <c r="B13" t="s">
        <v>38</v>
      </c>
    </row>
    <row r="14" spans="2:7" x14ac:dyDescent="0.25">
      <c r="B14" t="s">
        <v>39</v>
      </c>
    </row>
    <row r="16" spans="2:7" x14ac:dyDescent="0.25">
      <c r="B16" s="59" t="s">
        <v>40</v>
      </c>
    </row>
    <row r="17" spans="2:3" x14ac:dyDescent="0.25">
      <c r="B17" t="s">
        <v>48</v>
      </c>
      <c r="C17" t="s">
        <v>41</v>
      </c>
    </row>
    <row r="18" spans="2:3" x14ac:dyDescent="0.25">
      <c r="B18" t="s">
        <v>42</v>
      </c>
      <c r="C18" t="s">
        <v>41</v>
      </c>
    </row>
    <row r="19" spans="2:3" x14ac:dyDescent="0.25">
      <c r="B19" t="s">
        <v>36</v>
      </c>
      <c r="C19" t="s">
        <v>43</v>
      </c>
    </row>
    <row r="20" spans="2:3" x14ac:dyDescent="0.25">
      <c r="B20" t="s">
        <v>5</v>
      </c>
      <c r="C20" t="s">
        <v>44</v>
      </c>
    </row>
    <row r="21" spans="2:3" x14ac:dyDescent="0.25">
      <c r="B21" t="s">
        <v>45</v>
      </c>
      <c r="C21" t="s">
        <v>46</v>
      </c>
    </row>
    <row r="22" spans="2:3" x14ac:dyDescent="0.25">
      <c r="B22" t="s">
        <v>6</v>
      </c>
      <c r="C2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workbookViewId="0"/>
  </sheetViews>
  <sheetFormatPr defaultRowHeight="15" x14ac:dyDescent="0.25"/>
  <cols>
    <col min="2" max="2" width="24.5703125" customWidth="1"/>
  </cols>
  <sheetData>
    <row r="1" spans="2:13" ht="15.75" thickBot="1" x14ac:dyDescent="0.3"/>
    <row r="2" spans="2:13" ht="18.75" x14ac:dyDescent="0.3">
      <c r="B2" s="64" t="s">
        <v>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2:13" x14ac:dyDescent="0.25">
      <c r="B3" s="32"/>
      <c r="C3" s="51">
        <v>2020</v>
      </c>
      <c r="D3" s="51">
        <v>2021</v>
      </c>
      <c r="E3" s="51">
        <v>2022</v>
      </c>
      <c r="F3" s="51">
        <v>2023</v>
      </c>
      <c r="G3" s="51">
        <v>2024</v>
      </c>
      <c r="H3" s="51">
        <v>2025</v>
      </c>
      <c r="I3" s="51">
        <v>2026</v>
      </c>
      <c r="J3" s="51">
        <v>2027</v>
      </c>
      <c r="K3" s="51">
        <v>2028</v>
      </c>
      <c r="L3" s="51">
        <v>2029</v>
      </c>
      <c r="M3" s="52">
        <v>2030</v>
      </c>
    </row>
    <row r="4" spans="2:13" x14ac:dyDescent="0.25">
      <c r="B4" s="53" t="s">
        <v>16</v>
      </c>
      <c r="C4" s="54">
        <v>143091.81165361759</v>
      </c>
      <c r="D4" s="9">
        <v>150963.49253915914</v>
      </c>
      <c r="E4" s="9">
        <v>158835.17342470068</v>
      </c>
      <c r="F4" s="9">
        <v>166706.85431024223</v>
      </c>
      <c r="G4" s="9">
        <v>174578.53519578377</v>
      </c>
      <c r="H4" s="54">
        <v>182450.21608132531</v>
      </c>
      <c r="I4" s="9">
        <v>186113.10421312458</v>
      </c>
      <c r="J4" s="9">
        <v>189775.99234492384</v>
      </c>
      <c r="K4" s="9">
        <v>193438.8804767231</v>
      </c>
      <c r="L4" s="9">
        <v>197101.76860852237</v>
      </c>
      <c r="M4" s="55">
        <v>200764.65674032166</v>
      </c>
    </row>
    <row r="5" spans="2:13" x14ac:dyDescent="0.25">
      <c r="B5" s="53" t="s">
        <v>17</v>
      </c>
      <c r="C5" s="54">
        <v>49757.695852711069</v>
      </c>
      <c r="D5" s="9">
        <v>52370.718410970076</v>
      </c>
      <c r="E5" s="9">
        <v>54983.740969229082</v>
      </c>
      <c r="F5" s="9">
        <v>57596.763527488089</v>
      </c>
      <c r="G5" s="9">
        <v>60209.786085747095</v>
      </c>
      <c r="H5" s="54">
        <v>62822.808644006102</v>
      </c>
      <c r="I5" s="9">
        <v>65380.045654729045</v>
      </c>
      <c r="J5" s="9">
        <v>67937.282665451989</v>
      </c>
      <c r="K5" s="9">
        <v>70494.519676174925</v>
      </c>
      <c r="L5" s="9">
        <v>73051.756686897861</v>
      </c>
      <c r="M5" s="55">
        <v>75608.993697620812</v>
      </c>
    </row>
    <row r="6" spans="2:13" x14ac:dyDescent="0.25">
      <c r="B6" s="53" t="s">
        <v>18</v>
      </c>
      <c r="C6" s="54">
        <v>9370.3101431280302</v>
      </c>
      <c r="D6" s="9">
        <v>9749.91384254683</v>
      </c>
      <c r="E6" s="9">
        <v>10129.51754196563</v>
      </c>
      <c r="F6" s="9">
        <v>10509.12124138443</v>
      </c>
      <c r="G6" s="9">
        <v>10888.724940803229</v>
      </c>
      <c r="H6" s="54">
        <v>11268.328640222031</v>
      </c>
      <c r="I6" s="9">
        <v>11268.328640222031</v>
      </c>
      <c r="J6" s="9">
        <v>11268.328640222031</v>
      </c>
      <c r="K6" s="9">
        <v>11268.328640222031</v>
      </c>
      <c r="L6" s="9">
        <v>11268.328640222031</v>
      </c>
      <c r="M6" s="55">
        <v>11268.328640222031</v>
      </c>
    </row>
    <row r="7" spans="2:13" ht="15.75" thickBot="1" x14ac:dyDescent="0.3">
      <c r="B7" s="56" t="s">
        <v>0</v>
      </c>
      <c r="C7" s="57">
        <v>202219.8176494567</v>
      </c>
      <c r="D7" s="17">
        <v>213084.12479267604</v>
      </c>
      <c r="E7" s="17">
        <v>223948.43193589538</v>
      </c>
      <c r="F7" s="17">
        <v>234812.73907911472</v>
      </c>
      <c r="G7" s="17">
        <v>245677.04622233406</v>
      </c>
      <c r="H7" s="57">
        <v>256541.35336555343</v>
      </c>
      <c r="I7" s="17">
        <v>262761.47850807564</v>
      </c>
      <c r="J7" s="17">
        <v>268981.60365059786</v>
      </c>
      <c r="K7" s="17">
        <v>275201.72879312007</v>
      </c>
      <c r="L7" s="17">
        <v>281421.85393564228</v>
      </c>
      <c r="M7" s="58">
        <v>287641.9790781645</v>
      </c>
    </row>
    <row r="8" spans="2:13" x14ac:dyDescent="0.25">
      <c r="B8" s="3" t="s">
        <v>32</v>
      </c>
    </row>
  </sheetData>
  <mergeCells count="1">
    <mergeCell ref="B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workbookViewId="0"/>
  </sheetViews>
  <sheetFormatPr defaultRowHeight="15" x14ac:dyDescent="0.25"/>
  <cols>
    <col min="2" max="2" width="27.7109375" customWidth="1"/>
    <col min="3" max="4" width="18.85546875" customWidth="1"/>
    <col min="5" max="13" width="14.7109375" customWidth="1"/>
  </cols>
  <sheetData>
    <row r="1" spans="2:13" ht="15.75" thickBot="1" x14ac:dyDescent="0.3"/>
    <row r="2" spans="2:13" ht="15.75" x14ac:dyDescent="0.25">
      <c r="B2" s="70" t="s">
        <v>20</v>
      </c>
      <c r="C2" s="71"/>
      <c r="D2" s="72"/>
      <c r="E2" s="5"/>
      <c r="F2" s="5"/>
      <c r="G2" s="5"/>
    </row>
    <row r="3" spans="2:13" ht="15.75" thickBot="1" x14ac:dyDescent="0.3">
      <c r="B3" s="34" t="s">
        <v>22</v>
      </c>
      <c r="C3" s="35">
        <v>2020</v>
      </c>
      <c r="D3" s="36">
        <v>2030</v>
      </c>
      <c r="E3" s="2"/>
      <c r="F3" s="2"/>
      <c r="G3" s="2"/>
    </row>
    <row r="4" spans="2:13" x14ac:dyDescent="0.25">
      <c r="B4" s="32" t="s">
        <v>13</v>
      </c>
      <c r="C4" s="9">
        <v>165133239.55761749</v>
      </c>
      <c r="D4" s="10">
        <v>449874639.85730577</v>
      </c>
      <c r="E4" s="2"/>
      <c r="F4" s="2"/>
      <c r="G4" s="2"/>
    </row>
    <row r="5" spans="2:13" x14ac:dyDescent="0.25">
      <c r="B5" s="32" t="s">
        <v>14</v>
      </c>
      <c r="C5" s="9">
        <v>53558376.180322871</v>
      </c>
      <c r="D5" s="10">
        <v>165543642.63965017</v>
      </c>
      <c r="E5" s="2"/>
      <c r="F5" s="2"/>
      <c r="G5" s="2"/>
    </row>
    <row r="6" spans="2:13" ht="15.75" thickBot="1" x14ac:dyDescent="0.3">
      <c r="B6" s="33" t="s">
        <v>15</v>
      </c>
      <c r="C6" s="17">
        <v>20146141.368574165</v>
      </c>
      <c r="D6" s="18">
        <v>109380771.18608057</v>
      </c>
      <c r="E6" s="2"/>
      <c r="F6" s="2"/>
      <c r="G6" s="2"/>
    </row>
    <row r="7" spans="2:13" x14ac:dyDescent="0.25">
      <c r="B7" s="31" t="s">
        <v>21</v>
      </c>
      <c r="D7" s="2"/>
      <c r="E7" s="2"/>
      <c r="F7" s="2"/>
      <c r="G7" s="2"/>
    </row>
    <row r="8" spans="2:13" x14ac:dyDescent="0.25">
      <c r="D8" s="2"/>
      <c r="E8" s="2"/>
      <c r="F8" s="2"/>
      <c r="G8" s="2"/>
    </row>
    <row r="9" spans="2:13" ht="15.75" thickBot="1" x14ac:dyDescent="0.3">
      <c r="D9" s="1"/>
      <c r="E9" s="1"/>
      <c r="F9" s="1"/>
      <c r="G9" s="1"/>
    </row>
    <row r="10" spans="2:13" ht="18.75" x14ac:dyDescent="0.3">
      <c r="B10" s="64" t="s">
        <v>23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</row>
    <row r="11" spans="2:13" ht="15.75" thickBot="1" x14ac:dyDescent="0.3">
      <c r="B11" s="34" t="s">
        <v>22</v>
      </c>
      <c r="C11" s="35">
        <v>2020</v>
      </c>
      <c r="D11" s="35">
        <v>2021</v>
      </c>
      <c r="E11" s="35">
        <v>2022</v>
      </c>
      <c r="F11" s="35">
        <v>2023</v>
      </c>
      <c r="G11" s="35">
        <v>2024</v>
      </c>
      <c r="H11" s="35">
        <v>2025</v>
      </c>
      <c r="I11" s="35">
        <v>2026</v>
      </c>
      <c r="J11" s="35">
        <v>2027</v>
      </c>
      <c r="K11" s="35">
        <v>2028</v>
      </c>
      <c r="L11" s="35">
        <v>2029</v>
      </c>
      <c r="M11" s="38">
        <v>2030</v>
      </c>
    </row>
    <row r="12" spans="2:13" x14ac:dyDescent="0.25">
      <c r="B12" s="32" t="s">
        <v>13</v>
      </c>
      <c r="C12" s="37">
        <f>ROUND(C4/SUM(C$4:C$6),3)+0.001</f>
        <v>0.69199999999999995</v>
      </c>
      <c r="D12" s="37">
        <f t="shared" ref="D12:L12" si="0">C12+(($M12-$C12)/10)</f>
        <v>0.68489999999999995</v>
      </c>
      <c r="E12" s="37">
        <f t="shared" si="0"/>
        <v>0.67779999999999996</v>
      </c>
      <c r="F12" s="37">
        <f t="shared" si="0"/>
        <v>0.67069999999999996</v>
      </c>
      <c r="G12" s="37">
        <f t="shared" si="0"/>
        <v>0.66359999999999997</v>
      </c>
      <c r="H12" s="37">
        <f t="shared" si="0"/>
        <v>0.65649999999999997</v>
      </c>
      <c r="I12" s="37">
        <f t="shared" si="0"/>
        <v>0.64939999999999998</v>
      </c>
      <c r="J12" s="37">
        <f t="shared" si="0"/>
        <v>0.64229999999999998</v>
      </c>
      <c r="K12" s="37">
        <f t="shared" si="0"/>
        <v>0.63519999999999999</v>
      </c>
      <c r="L12" s="37">
        <f t="shared" si="0"/>
        <v>0.62809999999999999</v>
      </c>
      <c r="M12" s="39">
        <f>ROUND(D4/SUM(D$4:D$6),3)</f>
        <v>0.621</v>
      </c>
    </row>
    <row r="13" spans="2:13" x14ac:dyDescent="0.25">
      <c r="B13" s="32" t="s">
        <v>14</v>
      </c>
      <c r="C13" s="37">
        <f t="shared" ref="C13:C14" si="1">ROUND(C5/SUM(C$4:C$6),3)</f>
        <v>0.224</v>
      </c>
      <c r="D13" s="37">
        <f t="shared" ref="D13:L13" si="2">C13+(($M13-$C13)/10)</f>
        <v>0.22440000000000002</v>
      </c>
      <c r="E13" s="37">
        <f t="shared" si="2"/>
        <v>0.22480000000000003</v>
      </c>
      <c r="F13" s="37">
        <f t="shared" si="2"/>
        <v>0.22520000000000004</v>
      </c>
      <c r="G13" s="37">
        <f t="shared" si="2"/>
        <v>0.22560000000000005</v>
      </c>
      <c r="H13" s="37">
        <f t="shared" si="2"/>
        <v>0.22600000000000006</v>
      </c>
      <c r="I13" s="37">
        <f t="shared" si="2"/>
        <v>0.22640000000000007</v>
      </c>
      <c r="J13" s="37">
        <f t="shared" si="2"/>
        <v>0.22680000000000008</v>
      </c>
      <c r="K13" s="37">
        <f t="shared" si="2"/>
        <v>0.2272000000000001</v>
      </c>
      <c r="L13" s="37">
        <f t="shared" si="2"/>
        <v>0.22760000000000011</v>
      </c>
      <c r="M13" s="39">
        <f t="shared" ref="M13:M14" si="3">ROUND(D5/SUM(D$4:D$6),3)</f>
        <v>0.22800000000000001</v>
      </c>
    </row>
    <row r="14" spans="2:13" ht="15.75" thickBot="1" x14ac:dyDescent="0.3">
      <c r="B14" s="33" t="s">
        <v>15</v>
      </c>
      <c r="C14" s="22">
        <f t="shared" si="1"/>
        <v>8.4000000000000005E-2</v>
      </c>
      <c r="D14" s="22">
        <f t="shared" ref="D14:L14" si="4">C14+(($M14-$C14)/10)</f>
        <v>9.0700000000000003E-2</v>
      </c>
      <c r="E14" s="22">
        <f t="shared" si="4"/>
        <v>9.74E-2</v>
      </c>
      <c r="F14" s="22">
        <f t="shared" si="4"/>
        <v>0.1041</v>
      </c>
      <c r="G14" s="22">
        <f t="shared" si="4"/>
        <v>0.1108</v>
      </c>
      <c r="H14" s="22">
        <f t="shared" si="4"/>
        <v>0.11749999999999999</v>
      </c>
      <c r="I14" s="22">
        <f t="shared" si="4"/>
        <v>0.12419999999999999</v>
      </c>
      <c r="J14" s="22">
        <f t="shared" si="4"/>
        <v>0.13089999999999999</v>
      </c>
      <c r="K14" s="22">
        <f t="shared" si="4"/>
        <v>0.1376</v>
      </c>
      <c r="L14" s="22">
        <f t="shared" si="4"/>
        <v>0.14430000000000001</v>
      </c>
      <c r="M14" s="40">
        <f t="shared" si="3"/>
        <v>0.151</v>
      </c>
    </row>
    <row r="15" spans="2:13" x14ac:dyDescent="0.25">
      <c r="B15" s="42" t="s">
        <v>25</v>
      </c>
    </row>
  </sheetData>
  <mergeCells count="2">
    <mergeCell ref="B2:D2"/>
    <mergeCell ref="B10:M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BB3 Generation Levels</vt:lpstr>
      <vt:lpstr>RE Capacity Change</vt:lpstr>
      <vt:lpstr>Base Case Incremental RE Gen</vt:lpstr>
      <vt:lpstr>Regional Apportionment Weights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2015-07-28T19:12:57Z</dcterms:created>
  <dcterms:modified xsi:type="dcterms:W3CDTF">2015-08-05T15:27:43Z</dcterms:modified>
</cp:coreProperties>
</file>