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chreif\Documents\Dropbox\..Work in progress\111d territories &amp; tribes\Final materials\"/>
    </mc:Choice>
  </mc:AlternateContent>
  <bookViews>
    <workbookView xWindow="0" yWindow="0" windowWidth="15360" windowHeight="14520" tabRatio="773"/>
  </bookViews>
  <sheets>
    <sheet name="App 1 - Info" sheetId="1" r:id="rId1"/>
    <sheet name="App 1 - Guam" sheetId="4" r:id="rId2"/>
    <sheet name="App 1 - PR" sheetId="2" r:id="rId3"/>
    <sheet name="App 1 - Tribes" sheetId="5" r:id="rId4"/>
    <sheet name="App 2 - Goals option 1" sheetId="6" r:id="rId5"/>
    <sheet name="App 2 - Goals option 2" sheetId="3" r:id="rId6"/>
    <sheet name="App 3 - Cost info" sheetId="9" r:id="rId7"/>
    <sheet name="App 3 - Cost analysis" sheetId="8" r:id="rId8"/>
  </sheets>
  <externalReferences>
    <externalReference r:id="rId9"/>
  </externalReferences>
  <definedNames>
    <definedName name="C_CCEffic">[1]Info!$E$17</definedName>
    <definedName name="C_CO2gallon">[1]Info!$E$20</definedName>
    <definedName name="C_CoalCost20">'[1]Fuel costs'!$H$3</definedName>
    <definedName name="C_CoalCost25">'[1]Fuel costs'!$I$3</definedName>
    <definedName name="C_CoalCost30">'[1]Fuel costs'!$J$3</definedName>
    <definedName name="C_CoalEffic">[1]Info!$E$15</definedName>
    <definedName name="c_CoalHR">[1]Info!$E$21</definedName>
    <definedName name="c_EquipCost">[1]Info!$E$24</definedName>
    <definedName name="c_LNGCost20">'[1]Fuel costs'!$H$7</definedName>
    <definedName name="c_LNGCost25">'[1]Fuel costs'!$I$7</definedName>
    <definedName name="c_LNGCost30">'[1]Fuel costs'!$J$7</definedName>
    <definedName name="C_mmBtu2MW">[1]Info!$E$18</definedName>
    <definedName name="c_NGCCHR">[1]Info!$E$22</definedName>
    <definedName name="c_No6Cost20GM">'[1]Fuel costs'!$H$6</definedName>
    <definedName name="c_No6Cost20PR">'[1]Fuel costs'!$H$5</definedName>
    <definedName name="c_No6Cost25GM">'[1]Fuel costs'!$I$6</definedName>
    <definedName name="c_No6Cost25PR">'[1]Fuel costs'!$I$5</definedName>
    <definedName name="c_No6Cost30GM">'[1]Fuel costs'!$J$6</definedName>
    <definedName name="c_No6Cost30PR">'[1]Fuel costs'!$J$5</definedName>
    <definedName name="C_OGEffic">[1]Info!$E$16</definedName>
    <definedName name="c_OGHR">[1]Info!$E$23</definedName>
    <definedName name="c_PVCost">[1]Info!$E$25</definedName>
    <definedName name="cCO2MW">'App 1 - Info'!$B$16</definedName>
    <definedName name="cCO2SCFMole">'App 1 - Info'!$B$15</definedName>
    <definedName name="cCoalCost20PR">'App 3 - Cost info'!$B$5</definedName>
    <definedName name="cCoalCost25PR">'App 3 - Cost info'!$B$6</definedName>
    <definedName name="cCoalCost30PR">'App 3 - Cost info'!$B$7</definedName>
    <definedName name="cDollar2011">'App 3 - Cost info'!$B$3</definedName>
    <definedName name="cElecMMBtu">'App 1 - Info'!$B$17</definedName>
    <definedName name="cFcCoal">'App 1 - Info'!$B$12</definedName>
    <definedName name="cFcGas">'App 1 - Info'!$B$14</definedName>
    <definedName name="cFcOil">'App 1 - Info'!$B$13</definedName>
    <definedName name="cFtMojaveSales">'App 1 - Info'!$B$32</definedName>
    <definedName name="cGallon2CO2">'App 1 - Info'!$B$24</definedName>
    <definedName name="cGuamSales">'App 1 - Info'!$B$29</definedName>
    <definedName name="cHours">'App 1 - Info'!$B$11</definedName>
    <definedName name="cHRCoal">'App 1 - Info'!$B$21</definedName>
    <definedName name="cHRIEquipCost">'App 3 - Cost info'!$B$22</definedName>
    <definedName name="cHRNGCC">'App 1 - Info'!$B$23</definedName>
    <definedName name="cHROil">'App 1 - Info'!$B$22</definedName>
    <definedName name="cLNGAdder">'App 3 - Cost info'!$B$4</definedName>
    <definedName name="cLNGCost20PR">'App 3 - Cost info'!$B$8</definedName>
    <definedName name="cLNGCost25PR">'App 3 - Cost info'!$B$9</definedName>
    <definedName name="cLNGCost30PR">'App 3 - Cost info'!$B$10</definedName>
    <definedName name="cMT2LB">'App 1 - Info'!$B$25</definedName>
    <definedName name="cN2GCoal">'App 1 - Info'!$B$18</definedName>
    <definedName name="cN2GNGCC">'App 1 - Info'!$B$20</definedName>
    <definedName name="cN2GOil">'App 1 - Info'!$B$19</definedName>
    <definedName name="cNavajoSales">'App 1 - Info'!$B$30</definedName>
    <definedName name="cNo2Cost20PR">'App 3 - Cost info'!$B$11</definedName>
    <definedName name="cNo2Cost25PR">'App 3 - Cost info'!$B$12</definedName>
    <definedName name="cNo2Cost30PR">'App 3 - Cost info'!$B$13</definedName>
    <definedName name="cNo6Cost20GM">'App 3 - Cost info'!$B$17</definedName>
    <definedName name="cNo6Cost20PR">'App 3 - Cost info'!$B$14</definedName>
    <definedName name="cNo6Cost25GM">'App 3 - Cost info'!$B$18</definedName>
    <definedName name="cNo6Cost25PR">'App 3 - Cost info'!$B$15</definedName>
    <definedName name="cNo6Cost30GM">'App 3 - Cost info'!$B$19</definedName>
    <definedName name="cNo6Cost30PR">'App 3 - Cost info'!$B$16</definedName>
    <definedName name="cOpt1NGCC">'App 1 - Info'!$B$26</definedName>
    <definedName name="cOpt2NGCC">'App 1 - Info'!$B$27</definedName>
    <definedName name="cPRCoalShare">'App 3 - Cost info'!$B$20</definedName>
    <definedName name="cPROilShare">'App 3 - Cost info'!$B$21</definedName>
    <definedName name="cPRSales">'App 1 - Info'!$B$28</definedName>
    <definedName name="cTDLoss">'App 1 - Info'!$B$33</definedName>
    <definedName name="cUteSales">'App 1 - Info'!$B$31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8" l="1"/>
  <c r="C71" i="8"/>
  <c r="D51" i="8" l="1"/>
  <c r="C51" i="8"/>
  <c r="E32" i="8" l="1"/>
  <c r="D32" i="8"/>
  <c r="C32" i="8"/>
  <c r="E13" i="8"/>
  <c r="D13" i="8"/>
  <c r="C13" i="8"/>
  <c r="B3" i="9"/>
  <c r="B18" i="9" s="1"/>
  <c r="AF4" i="3"/>
  <c r="J4" i="3"/>
  <c r="AP14" i="6"/>
  <c r="J14" i="6"/>
  <c r="N25" i="8" s="1"/>
  <c r="AP4" i="6"/>
  <c r="J4" i="6"/>
  <c r="N6" i="8" s="1"/>
  <c r="AP20" i="6"/>
  <c r="J20" i="6"/>
  <c r="AF14" i="3"/>
  <c r="J14" i="3"/>
  <c r="K64" i="8" l="1"/>
  <c r="J64" i="8"/>
  <c r="K44" i="8"/>
  <c r="J44" i="8"/>
  <c r="M6" i="8"/>
  <c r="M25" i="8"/>
  <c r="O25" i="8"/>
  <c r="B9" i="9"/>
  <c r="B8" i="9"/>
  <c r="B10" i="9"/>
  <c r="O6" i="8"/>
  <c r="B6" i="9"/>
  <c r="B12" i="9"/>
  <c r="B13" i="9"/>
  <c r="B15" i="9"/>
  <c r="B17" i="9"/>
  <c r="B19" i="9"/>
  <c r="B5" i="9"/>
  <c r="B7" i="9"/>
  <c r="B11" i="9"/>
  <c r="B14" i="9"/>
  <c r="B16" i="9"/>
  <c r="L15" i="3" l="1"/>
  <c r="L9" i="3"/>
  <c r="L5" i="3"/>
  <c r="Q20" i="6"/>
  <c r="AP15" i="6"/>
  <c r="S15" i="6"/>
  <c r="R15" i="6"/>
  <c r="Q15" i="6"/>
  <c r="P15" i="6"/>
  <c r="L15" i="6"/>
  <c r="H15" i="6"/>
  <c r="C27" i="8" s="1"/>
  <c r="D27" i="8" s="1"/>
  <c r="E27" i="8" s="1"/>
  <c r="F27" i="8" s="1"/>
  <c r="Q14" i="6"/>
  <c r="AP9" i="6"/>
  <c r="Q9" i="6"/>
  <c r="L9" i="6"/>
  <c r="J9" i="6"/>
  <c r="G9" i="6"/>
  <c r="C9" i="6" s="1"/>
  <c r="P9" i="6" s="1"/>
  <c r="S8" i="6"/>
  <c r="R8" i="6"/>
  <c r="Q8" i="6"/>
  <c r="P8" i="6"/>
  <c r="F8" i="6"/>
  <c r="O8" i="6" s="1"/>
  <c r="N8" i="6" s="1"/>
  <c r="AP7" i="6"/>
  <c r="S7" i="6"/>
  <c r="R7" i="6"/>
  <c r="Q7" i="6"/>
  <c r="P7" i="6"/>
  <c r="F7" i="6"/>
  <c r="O7" i="6" s="1"/>
  <c r="N7" i="6" s="1"/>
  <c r="AP5" i="6"/>
  <c r="S5" i="6"/>
  <c r="R5" i="6"/>
  <c r="Q5" i="6"/>
  <c r="P5" i="6"/>
  <c r="L5" i="6"/>
  <c r="H5" i="6"/>
  <c r="C8" i="8" s="1"/>
  <c r="D8" i="8" s="1"/>
  <c r="E8" i="8" s="1"/>
  <c r="F8" i="8" s="1"/>
  <c r="Q4" i="6"/>
  <c r="G27" i="8" l="1"/>
  <c r="J27" i="8" s="1"/>
  <c r="M27" i="8" s="1"/>
  <c r="C36" i="8" s="1"/>
  <c r="R9" i="6"/>
  <c r="B8" i="6"/>
  <c r="L8" i="6" s="1"/>
  <c r="AO8" i="6"/>
  <c r="AO9" i="6"/>
  <c r="B7" i="6"/>
  <c r="L7" i="6" s="1"/>
  <c r="AO7" i="6"/>
  <c r="H8" i="8"/>
  <c r="K8" i="8" s="1"/>
  <c r="N8" i="8" s="1"/>
  <c r="G8" i="8"/>
  <c r="J8" i="8" s="1"/>
  <c r="M8" i="8" s="1"/>
  <c r="H27" i="8"/>
  <c r="K27" i="8" s="1"/>
  <c r="N27" i="8" s="1"/>
  <c r="D36" i="8" s="1"/>
  <c r="I8" i="8"/>
  <c r="L8" i="8" s="1"/>
  <c r="O8" i="8" s="1"/>
  <c r="E17" i="8" s="1"/>
  <c r="I27" i="8"/>
  <c r="L27" i="8" s="1"/>
  <c r="O27" i="8" s="1"/>
  <c r="O5" i="6"/>
  <c r="M5" i="6" s="1"/>
  <c r="O9" i="6"/>
  <c r="S9" i="6" s="1"/>
  <c r="O15" i="6"/>
  <c r="M15" i="6" s="1"/>
  <c r="M7" i="6"/>
  <c r="M8" i="6"/>
  <c r="AZ7" i="6" l="1"/>
  <c r="BB7" i="6" s="1"/>
  <c r="C17" i="8"/>
  <c r="D17" i="8"/>
  <c r="E36" i="8"/>
  <c r="AZ8" i="6"/>
  <c r="BB8" i="6" s="1"/>
  <c r="AR8" i="6"/>
  <c r="AW9" i="6"/>
  <c r="AS7" i="6"/>
  <c r="AX7" i="6"/>
  <c r="AX9" i="6"/>
  <c r="AY7" i="6"/>
  <c r="AS9" i="6"/>
  <c r="AT9" i="6"/>
  <c r="AQ7" i="6"/>
  <c r="AT7" i="6"/>
  <c r="AY9" i="6"/>
  <c r="AS8" i="6"/>
  <c r="AU8" i="6"/>
  <c r="AY8" i="6"/>
  <c r="AT8" i="6"/>
  <c r="AX8" i="6"/>
  <c r="AU9" i="6"/>
  <c r="AQ9" i="6"/>
  <c r="AZ9" i="6"/>
  <c r="BB9" i="6" s="1"/>
  <c r="AV9" i="6"/>
  <c r="AR9" i="6"/>
  <c r="N15" i="6"/>
  <c r="N5" i="6"/>
  <c r="AQ8" i="6"/>
  <c r="AW8" i="6"/>
  <c r="AV8" i="6"/>
  <c r="AW7" i="6"/>
  <c r="AU7" i="6"/>
  <c r="AR7" i="6"/>
  <c r="AV7" i="6"/>
  <c r="BA7" i="6" l="1"/>
  <c r="BA9" i="6"/>
  <c r="BA8" i="6"/>
  <c r="AF15" i="3" l="1"/>
  <c r="S15" i="3"/>
  <c r="R15" i="3"/>
  <c r="Q15" i="3"/>
  <c r="P15" i="3"/>
  <c r="H15" i="3"/>
  <c r="Q14" i="3"/>
  <c r="G9" i="3"/>
  <c r="C9" i="3" s="1"/>
  <c r="F8" i="3"/>
  <c r="F7" i="3"/>
  <c r="O7" i="3" s="1"/>
  <c r="O15" i="3" l="1"/>
  <c r="M15" i="3" s="1"/>
  <c r="C66" i="8"/>
  <c r="D66" i="8" s="1"/>
  <c r="E66" i="8" s="1"/>
  <c r="G66" i="8" s="1"/>
  <c r="I66" i="8" s="1"/>
  <c r="K66" i="8" s="1"/>
  <c r="B8" i="3"/>
  <c r="L8" i="3" s="1"/>
  <c r="O8" i="3"/>
  <c r="B7" i="3"/>
  <c r="L7" i="3" s="1"/>
  <c r="N15" i="3" l="1"/>
  <c r="F66" i="8"/>
  <c r="H66" i="8" s="1"/>
  <c r="J66" i="8" s="1"/>
  <c r="C75" i="8" s="1"/>
  <c r="D75" i="8"/>
  <c r="Q9" i="3" l="1"/>
  <c r="P9" i="3"/>
  <c r="R8" i="3"/>
  <c r="Q8" i="3"/>
  <c r="P8" i="3"/>
  <c r="N8" i="3"/>
  <c r="M8" i="3"/>
  <c r="R7" i="3"/>
  <c r="Q7" i="3"/>
  <c r="P7" i="3"/>
  <c r="N7" i="3"/>
  <c r="R5" i="3"/>
  <c r="Q5" i="3"/>
  <c r="P5" i="3"/>
  <c r="J9" i="3"/>
  <c r="H5" i="3"/>
  <c r="C46" i="8" s="1"/>
  <c r="D46" i="8" s="1"/>
  <c r="E46" i="8" s="1"/>
  <c r="AF9" i="3"/>
  <c r="AE9" i="3" s="1"/>
  <c r="AE8" i="3"/>
  <c r="AF7" i="3"/>
  <c r="AE7" i="3" s="1"/>
  <c r="AF5" i="3"/>
  <c r="F46" i="8" l="1"/>
  <c r="H46" i="8" s="1"/>
  <c r="J46" i="8" s="1"/>
  <c r="G46" i="8"/>
  <c r="I46" i="8" s="1"/>
  <c r="K46" i="8" s="1"/>
  <c r="O5" i="3"/>
  <c r="N5" i="3" s="1"/>
  <c r="R9" i="3"/>
  <c r="O9" i="3"/>
  <c r="M7" i="3"/>
  <c r="D55" i="8" l="1"/>
  <c r="C55" i="8"/>
  <c r="M5" i="3"/>
  <c r="Q4" i="3"/>
  <c r="H3" i="4"/>
  <c r="H4" i="4"/>
  <c r="H5" i="4"/>
  <c r="H6" i="4"/>
  <c r="H2" i="4"/>
  <c r="S8" i="3"/>
  <c r="S7" i="3"/>
  <c r="S5" i="3"/>
  <c r="D5" i="6" l="1"/>
  <c r="AV5" i="6" s="1"/>
  <c r="D15" i="6"/>
  <c r="AV15" i="6" s="1"/>
  <c r="D15" i="3"/>
  <c r="D5" i="3"/>
  <c r="S9" i="3"/>
  <c r="B15" i="1"/>
  <c r="H2" i="2" s="1"/>
  <c r="C76" i="8" l="1"/>
  <c r="D76" i="8"/>
  <c r="D56" i="8"/>
  <c r="C56" i="8"/>
  <c r="E18" i="8"/>
  <c r="C18" i="8"/>
  <c r="D18" i="8"/>
  <c r="C37" i="8"/>
  <c r="E37" i="8"/>
  <c r="D37" i="8"/>
  <c r="H47" i="2"/>
  <c r="H43" i="2"/>
  <c r="H39" i="2"/>
  <c r="H35" i="2"/>
  <c r="H31" i="2"/>
  <c r="H27" i="2"/>
  <c r="H23" i="2"/>
  <c r="H19" i="2"/>
  <c r="H15" i="2"/>
  <c r="H11" i="2"/>
  <c r="H7" i="2"/>
  <c r="H3" i="2"/>
  <c r="H45" i="2"/>
  <c r="H41" i="2"/>
  <c r="H37" i="2"/>
  <c r="H33" i="2"/>
  <c r="H29" i="2"/>
  <c r="H25" i="2"/>
  <c r="H21" i="2"/>
  <c r="H17" i="2"/>
  <c r="H13" i="2"/>
  <c r="H9" i="2"/>
  <c r="H5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H4" i="2"/>
  <c r="AS15" i="6"/>
  <c r="AY15" i="6"/>
  <c r="AR15" i="6"/>
  <c r="AX15" i="6"/>
  <c r="AW15" i="6"/>
  <c r="AT15" i="6"/>
  <c r="AQ15" i="6"/>
  <c r="AZ15" i="6"/>
  <c r="BB15" i="6" s="1"/>
  <c r="AU15" i="6"/>
  <c r="AH15" i="3"/>
  <c r="AI15" i="3"/>
  <c r="AK15" i="3"/>
  <c r="AM15" i="3" s="1"/>
  <c r="AJ15" i="3"/>
  <c r="AG15" i="3"/>
  <c r="AR5" i="6"/>
  <c r="AZ5" i="6"/>
  <c r="BB5" i="6" s="1"/>
  <c r="AX5" i="6"/>
  <c r="AU5" i="6"/>
  <c r="AS5" i="6"/>
  <c r="AY5" i="6"/>
  <c r="AT5" i="6"/>
  <c r="AW5" i="6"/>
  <c r="AQ5" i="6"/>
  <c r="AJ5" i="3"/>
  <c r="AH5" i="3"/>
  <c r="AH8" i="3"/>
  <c r="AI9" i="3"/>
  <c r="AI5" i="3"/>
  <c r="AJ9" i="3"/>
  <c r="AI8" i="3"/>
  <c r="AH7" i="3"/>
  <c r="AI7" i="3"/>
  <c r="AK9" i="3"/>
  <c r="AM9" i="3" s="1"/>
  <c r="AG9" i="3"/>
  <c r="AK5" i="3"/>
  <c r="AM5" i="3" s="1"/>
  <c r="AG5" i="3"/>
  <c r="AH9" i="3"/>
  <c r="AJ8" i="3"/>
  <c r="AG8" i="3"/>
  <c r="AK8" i="3"/>
  <c r="AM8" i="3" s="1"/>
  <c r="AJ7" i="3"/>
  <c r="AG7" i="3"/>
  <c r="AK7" i="3"/>
  <c r="AM7" i="3" s="1"/>
  <c r="A2" i="1"/>
  <c r="AL5" i="3" l="1"/>
  <c r="AL7" i="3"/>
  <c r="AL9" i="3"/>
  <c r="AL15" i="3"/>
  <c r="AL8" i="3"/>
  <c r="H4" i="3"/>
  <c r="H14" i="6"/>
  <c r="H20" i="6"/>
  <c r="D20" i="6" s="1"/>
  <c r="H14" i="3"/>
  <c r="H4" i="6"/>
  <c r="F4" i="6"/>
  <c r="F14" i="3"/>
  <c r="F4" i="3"/>
  <c r="G4" i="6"/>
  <c r="G4" i="3"/>
  <c r="G14" i="6"/>
  <c r="G20" i="6"/>
  <c r="C20" i="6" s="1"/>
  <c r="P20" i="6" s="1"/>
  <c r="G14" i="3"/>
  <c r="F20" i="6"/>
  <c r="B20" i="6" s="1"/>
  <c r="L20" i="6" s="1"/>
  <c r="F14" i="6"/>
  <c r="BA5" i="6"/>
  <c r="R14" i="6"/>
  <c r="BA15" i="6"/>
  <c r="O4" i="3" l="1"/>
  <c r="S4" i="3" s="1"/>
  <c r="O4" i="6"/>
  <c r="S4" i="6" s="1"/>
  <c r="C4" i="3"/>
  <c r="P4" i="3" s="1"/>
  <c r="C44" i="8"/>
  <c r="D44" i="8" s="1"/>
  <c r="B4" i="3"/>
  <c r="L4" i="3" s="1"/>
  <c r="C43" i="8"/>
  <c r="D14" i="3"/>
  <c r="C65" i="8"/>
  <c r="D65" i="8" s="1"/>
  <c r="D14" i="6"/>
  <c r="C26" i="8"/>
  <c r="D26" i="8" s="1"/>
  <c r="B14" i="6"/>
  <c r="L14" i="6" s="1"/>
  <c r="C24" i="8"/>
  <c r="C14" i="3"/>
  <c r="P14" i="3" s="1"/>
  <c r="C64" i="8"/>
  <c r="D64" i="8" s="1"/>
  <c r="C14" i="6"/>
  <c r="P14" i="6" s="1"/>
  <c r="C25" i="8"/>
  <c r="D25" i="8" s="1"/>
  <c r="B14" i="3"/>
  <c r="L14" i="3" s="1"/>
  <c r="C63" i="8"/>
  <c r="D4" i="3"/>
  <c r="C45" i="8"/>
  <c r="D45" i="8" s="1"/>
  <c r="O14" i="6"/>
  <c r="N14" i="6" s="1"/>
  <c r="R14" i="3"/>
  <c r="C5" i="8"/>
  <c r="B20" i="9"/>
  <c r="B4" i="6"/>
  <c r="L4" i="6" s="1"/>
  <c r="B21" i="9"/>
  <c r="D4" i="6"/>
  <c r="C7" i="8"/>
  <c r="D7" i="8" s="1"/>
  <c r="R4" i="3"/>
  <c r="C4" i="6"/>
  <c r="P4" i="6" s="1"/>
  <c r="C6" i="8"/>
  <c r="D6" i="8" s="1"/>
  <c r="R4" i="6"/>
  <c r="R20" i="6"/>
  <c r="O14" i="3"/>
  <c r="N14" i="3" s="1"/>
  <c r="O20" i="6"/>
  <c r="N20" i="6" s="1"/>
  <c r="N4" i="6"/>
  <c r="S14" i="6"/>
  <c r="M4" i="6"/>
  <c r="M4" i="3"/>
  <c r="N4" i="3"/>
  <c r="S20" i="6" l="1"/>
  <c r="M14" i="6"/>
  <c r="AS14" i="6" s="1"/>
  <c r="F45" i="8"/>
  <c r="H45" i="8" s="1"/>
  <c r="E45" i="8"/>
  <c r="G45" i="8" s="1"/>
  <c r="I45" i="8" s="1"/>
  <c r="D63" i="8"/>
  <c r="C62" i="8"/>
  <c r="F25" i="8"/>
  <c r="E25" i="8"/>
  <c r="G25" i="8"/>
  <c r="J25" i="8" s="1"/>
  <c r="E64" i="8"/>
  <c r="F64" i="8"/>
  <c r="H64" i="8" s="1"/>
  <c r="C23" i="8"/>
  <c r="D24" i="8"/>
  <c r="G26" i="8"/>
  <c r="J26" i="8" s="1"/>
  <c r="F26" i="8"/>
  <c r="I26" i="8" s="1"/>
  <c r="L26" i="8" s="1"/>
  <c r="E26" i="8"/>
  <c r="H26" i="8" s="1"/>
  <c r="K26" i="8" s="1"/>
  <c r="F65" i="8"/>
  <c r="H65" i="8" s="1"/>
  <c r="E65" i="8"/>
  <c r="G65" i="8" s="1"/>
  <c r="I65" i="8" s="1"/>
  <c r="D43" i="8"/>
  <c r="C42" i="8"/>
  <c r="F44" i="8"/>
  <c r="H44" i="8" s="1"/>
  <c r="E44" i="8"/>
  <c r="J65" i="8"/>
  <c r="C4" i="8"/>
  <c r="E7" i="8"/>
  <c r="H7" i="8" s="1"/>
  <c r="K7" i="8" s="1"/>
  <c r="G7" i="8"/>
  <c r="J7" i="8" s="1"/>
  <c r="F7" i="8"/>
  <c r="I7" i="8" s="1"/>
  <c r="L7" i="8" s="1"/>
  <c r="F6" i="8"/>
  <c r="G6" i="8"/>
  <c r="J6" i="8" s="1"/>
  <c r="E6" i="8"/>
  <c r="D5" i="8"/>
  <c r="D4" i="8" s="1"/>
  <c r="M14" i="3"/>
  <c r="AK14" i="3" s="1"/>
  <c r="AM14" i="3" s="1"/>
  <c r="S14" i="3"/>
  <c r="M20" i="6"/>
  <c r="AT20" i="6" s="1"/>
  <c r="AW4" i="6"/>
  <c r="AV4" i="6"/>
  <c r="AY4" i="6"/>
  <c r="AQ4" i="6"/>
  <c r="AT4" i="6"/>
  <c r="AU4" i="6"/>
  <c r="AR4" i="6"/>
  <c r="AZ4" i="6"/>
  <c r="BB4" i="6" s="1"/>
  <c r="AX4" i="6"/>
  <c r="AS4" i="6"/>
  <c r="AW14" i="6"/>
  <c r="AZ14" i="6"/>
  <c r="BB14" i="6" s="1"/>
  <c r="AR14" i="6"/>
  <c r="AU14" i="6"/>
  <c r="AX14" i="6"/>
  <c r="AK4" i="3"/>
  <c r="AM4" i="3" s="1"/>
  <c r="AI4" i="3"/>
  <c r="AJ4" i="3"/>
  <c r="AG4" i="3"/>
  <c r="AH4" i="3"/>
  <c r="AL4" i="3" l="1"/>
  <c r="AT14" i="6"/>
  <c r="AQ14" i="6"/>
  <c r="AY14" i="6"/>
  <c r="AV14" i="6"/>
  <c r="AS20" i="6"/>
  <c r="G44" i="8"/>
  <c r="I44" i="8" s="1"/>
  <c r="K45" i="8" s="1"/>
  <c r="I25" i="8"/>
  <c r="L25" i="8" s="1"/>
  <c r="O26" i="8" s="1"/>
  <c r="H25" i="8"/>
  <c r="K25" i="8" s="1"/>
  <c r="N26" i="8" s="1"/>
  <c r="G64" i="8"/>
  <c r="I64" i="8" s="1"/>
  <c r="K65" i="8" s="1"/>
  <c r="M26" i="8"/>
  <c r="J45" i="8"/>
  <c r="AI14" i="3"/>
  <c r="D42" i="8"/>
  <c r="E43" i="8"/>
  <c r="F43" i="8"/>
  <c r="D23" i="8"/>
  <c r="G24" i="8"/>
  <c r="F24" i="8"/>
  <c r="E24" i="8"/>
  <c r="F63" i="8"/>
  <c r="D62" i="8"/>
  <c r="E63" i="8"/>
  <c r="AU20" i="6"/>
  <c r="AX20" i="6"/>
  <c r="AG14" i="3"/>
  <c r="M7" i="8"/>
  <c r="H6" i="8"/>
  <c r="K6" i="8" s="1"/>
  <c r="N7" i="8" s="1"/>
  <c r="I6" i="8"/>
  <c r="L6" i="8" s="1"/>
  <c r="O7" i="8" s="1"/>
  <c r="AV20" i="6"/>
  <c r="AY20" i="6"/>
  <c r="AJ14" i="3"/>
  <c r="AH14" i="3"/>
  <c r="F5" i="8"/>
  <c r="F4" i="8" s="1"/>
  <c r="E5" i="8"/>
  <c r="E4" i="8" s="1"/>
  <c r="G5" i="8"/>
  <c r="G4" i="8" s="1"/>
  <c r="AW20" i="6"/>
  <c r="AR20" i="6"/>
  <c r="AZ20" i="6"/>
  <c r="BB20" i="6" s="1"/>
  <c r="AQ20" i="6"/>
  <c r="BA4" i="6"/>
  <c r="BA14" i="6"/>
  <c r="AL14" i="3" l="1"/>
  <c r="BA20" i="6"/>
  <c r="G63" i="8"/>
  <c r="E62" i="8"/>
  <c r="F62" i="8"/>
  <c r="H63" i="8"/>
  <c r="F23" i="8"/>
  <c r="I24" i="8"/>
  <c r="G43" i="8"/>
  <c r="E42" i="8"/>
  <c r="H24" i="8"/>
  <c r="E23" i="8"/>
  <c r="G23" i="8"/>
  <c r="J24" i="8"/>
  <c r="F42" i="8"/>
  <c r="H43" i="8"/>
  <c r="J5" i="8"/>
  <c r="J4" i="8" s="1"/>
  <c r="I5" i="8"/>
  <c r="I4" i="8" s="1"/>
  <c r="H5" i="8"/>
  <c r="H4" i="8" s="1"/>
  <c r="H42" i="8" l="1"/>
  <c r="J43" i="8"/>
  <c r="C52" i="8" s="1"/>
  <c r="J23" i="8"/>
  <c r="M24" i="8"/>
  <c r="C33" i="8" s="1"/>
  <c r="I23" i="8"/>
  <c r="L24" i="8"/>
  <c r="H62" i="8"/>
  <c r="J63" i="8"/>
  <c r="C72" i="8" s="1"/>
  <c r="H23" i="8"/>
  <c r="K24" i="8"/>
  <c r="G42" i="8"/>
  <c r="I43" i="8"/>
  <c r="G62" i="8"/>
  <c r="I63" i="8"/>
  <c r="K5" i="8"/>
  <c r="K4" i="8" s="1"/>
  <c r="L5" i="8"/>
  <c r="L4" i="8" s="1"/>
  <c r="M5" i="8"/>
  <c r="M4" i="8" l="1"/>
  <c r="C14" i="8"/>
  <c r="I62" i="8"/>
  <c r="K63" i="8"/>
  <c r="D72" i="8" s="1"/>
  <c r="I42" i="8"/>
  <c r="K43" i="8"/>
  <c r="D52" i="8" s="1"/>
  <c r="K23" i="8"/>
  <c r="N24" i="8"/>
  <c r="D33" i="8" s="1"/>
  <c r="C73" i="8"/>
  <c r="J62" i="8"/>
  <c r="L23" i="8"/>
  <c r="O24" i="8"/>
  <c r="E33" i="8" s="1"/>
  <c r="C34" i="8"/>
  <c r="M23" i="8"/>
  <c r="C53" i="8"/>
  <c r="J42" i="8"/>
  <c r="C15" i="8"/>
  <c r="O5" i="8"/>
  <c r="N5" i="8"/>
  <c r="O4" i="8" l="1"/>
  <c r="E14" i="8"/>
  <c r="N4" i="8"/>
  <c r="D14" i="8"/>
  <c r="D34" i="8"/>
  <c r="N23" i="8"/>
  <c r="D53" i="8"/>
  <c r="K42" i="8"/>
  <c r="K62" i="8"/>
  <c r="D73" i="8"/>
  <c r="O23" i="8"/>
  <c r="E34" i="8"/>
  <c r="E15" i="8"/>
  <c r="D15" i="8"/>
</calcChain>
</file>

<file path=xl/sharedStrings.xml><?xml version="1.0" encoding="utf-8"?>
<sst xmlns="http://schemas.openxmlformats.org/spreadsheetml/2006/main" count="910" uniqueCount="337">
  <si>
    <t>Description</t>
  </si>
  <si>
    <t>Inputs and constants</t>
  </si>
  <si>
    <t>Assumptions</t>
  </si>
  <si>
    <t>Notes</t>
  </si>
  <si>
    <t>Worksheet descriptions</t>
  </si>
  <si>
    <t>Name</t>
  </si>
  <si>
    <t>Value</t>
  </si>
  <si>
    <t>Reference</t>
  </si>
  <si>
    <t>Notes &amp; sources</t>
  </si>
  <si>
    <t>UOM</t>
  </si>
  <si>
    <t>Goals for Existing Power Plants in Territories and on Tribal Lands</t>
  </si>
  <si>
    <t>This workbook lists details for fossil EGUs in Puerto Rico (PR), USVI (US Virgin Islands), and Guam</t>
  </si>
  <si>
    <t xml:space="preserve">Details include combustion type (steam boiler (ST), simple cycle turbine (CT), or combined cycle turbine (CC)), </t>
  </si>
  <si>
    <t>2012 fuel type, 2012 CO2 emissions (metric tons), and 2012 gross load (MWh gross electrictity output)</t>
  </si>
  <si>
    <t>Fc coal</t>
  </si>
  <si>
    <t>Fc oil</t>
  </si>
  <si>
    <t>hours</t>
  </si>
  <si>
    <t>Hours/year</t>
  </si>
  <si>
    <t>Fc gas</t>
  </si>
  <si>
    <t>cHours</t>
  </si>
  <si>
    <t>cFcCoal</t>
  </si>
  <si>
    <t>cFcOil</t>
  </si>
  <si>
    <t>cFcGas</t>
  </si>
  <si>
    <t>scf CO2/mmBtu</t>
  </si>
  <si>
    <t>CO2 per mole</t>
  </si>
  <si>
    <t>scf CO2/lb-mole</t>
  </si>
  <si>
    <t>cCO2SCFMole</t>
  </si>
  <si>
    <t>CO2 mole wt</t>
  </si>
  <si>
    <t>CO2 lb/lb-mole</t>
  </si>
  <si>
    <t>cCO2MW</t>
  </si>
  <si>
    <t xml:space="preserve">Electricity </t>
  </si>
  <si>
    <t>mmBtu/MWh</t>
  </si>
  <si>
    <t>cElecMMBtu</t>
  </si>
  <si>
    <t>Net:gross coal ST</t>
  </si>
  <si>
    <t>Net:gross oil ST</t>
  </si>
  <si>
    <t>Net:gross NGCC</t>
  </si>
  <si>
    <t>cN2GCoal</t>
  </si>
  <si>
    <t>cN2GOil</t>
  </si>
  <si>
    <t>cN2GNGCC</t>
  </si>
  <si>
    <t>mmBtu/gross MWh</t>
  </si>
  <si>
    <t>EIA, Electric Power Annual 2012</t>
  </si>
  <si>
    <r>
      <t xml:space="preserve">40CFR Part 75 Appendix F </t>
    </r>
    <r>
      <rPr>
        <sz val="11"/>
        <color rgb="FF7F7F7F"/>
        <rFont val="Calibri"/>
        <family val="2"/>
      </rPr>
      <t>§</t>
    </r>
    <r>
      <rPr>
        <i/>
        <sz val="11"/>
        <color rgb="FF7F7F7F"/>
        <rFont val="Calibri"/>
        <family val="2"/>
      </rPr>
      <t>3.3.5</t>
    </r>
  </si>
  <si>
    <r>
      <t xml:space="preserve">40CFR Part 75 Appendix G </t>
    </r>
    <r>
      <rPr>
        <sz val="11"/>
        <color rgb="FF7F7F7F"/>
        <rFont val="Calibri"/>
        <family val="2"/>
      </rPr>
      <t>§</t>
    </r>
    <r>
      <rPr>
        <i/>
        <sz val="11"/>
        <color rgb="FF7F7F7F"/>
        <rFont val="Calibri"/>
        <family val="2"/>
      </rPr>
      <t>2.3</t>
    </r>
  </si>
  <si>
    <t>Heat rate coal ST</t>
  </si>
  <si>
    <t>Heat rate oil ST</t>
  </si>
  <si>
    <t>Heat rate NGCC</t>
  </si>
  <si>
    <t>cHRCoal</t>
  </si>
  <si>
    <t>cHROil</t>
  </si>
  <si>
    <t>cHRNGCC</t>
  </si>
  <si>
    <t>Unit</t>
  </si>
  <si>
    <t>CO2 (MT)</t>
  </si>
  <si>
    <t>Fuel</t>
  </si>
  <si>
    <t>Capacity (MW)</t>
  </si>
  <si>
    <t>AES PR Co-generation (Guayama)</t>
  </si>
  <si>
    <t>Y</t>
  </si>
  <si>
    <t>#1</t>
  </si>
  <si>
    <t>ST - CFB</t>
  </si>
  <si>
    <t>#2</t>
  </si>
  <si>
    <t>Aguirre</t>
  </si>
  <si>
    <t>AG1</t>
  </si>
  <si>
    <t>No. 6</t>
  </si>
  <si>
    <t>ST</t>
  </si>
  <si>
    <t>AG2</t>
  </si>
  <si>
    <t>N</t>
  </si>
  <si>
    <t>AGGT1-1</t>
  </si>
  <si>
    <t>No. 2</t>
  </si>
  <si>
    <t>CT</t>
  </si>
  <si>
    <t>AGGT1-2</t>
  </si>
  <si>
    <t>CC1</t>
  </si>
  <si>
    <t>CC</t>
  </si>
  <si>
    <t>CC2</t>
  </si>
  <si>
    <t>Cambalache (Arecibo)</t>
  </si>
  <si>
    <t>Camb1</t>
  </si>
  <si>
    <t>Camb2</t>
  </si>
  <si>
    <t>Camb3</t>
  </si>
  <si>
    <t>Daguao (Ceiba)</t>
  </si>
  <si>
    <t>DAGT1-1</t>
  </si>
  <si>
    <t>DAGT1-2</t>
  </si>
  <si>
    <t>Ecoelectrica (Penuelas)</t>
  </si>
  <si>
    <t>CT1</t>
  </si>
  <si>
    <t>NG</t>
  </si>
  <si>
    <t>CT2</t>
  </si>
  <si>
    <t>Jobos (Guayama)</t>
  </si>
  <si>
    <t>JOGT1-1</t>
  </si>
  <si>
    <t>JOGT1-2</t>
  </si>
  <si>
    <t>Mayaquez</t>
  </si>
  <si>
    <t>MAYGT5</t>
  </si>
  <si>
    <t>MAYGT6</t>
  </si>
  <si>
    <t>MAYGT7</t>
  </si>
  <si>
    <t>MAYGT8</t>
  </si>
  <si>
    <t>Palo Seco (Toa Baja)</t>
  </si>
  <si>
    <t>PS1</t>
  </si>
  <si>
    <t>PS2</t>
  </si>
  <si>
    <t>PS3</t>
  </si>
  <si>
    <t>PS4</t>
  </si>
  <si>
    <t>PSGT1-1</t>
  </si>
  <si>
    <t>PSGT1-2</t>
  </si>
  <si>
    <t>PSGT2-1</t>
  </si>
  <si>
    <t>PSGT2-2</t>
  </si>
  <si>
    <t>PSGT3-1</t>
  </si>
  <si>
    <t>PSGT3-2</t>
  </si>
  <si>
    <t>San Juan</t>
  </si>
  <si>
    <t>SJ7</t>
  </si>
  <si>
    <t>SJ8</t>
  </si>
  <si>
    <t>SJ9</t>
  </si>
  <si>
    <t>SJ10</t>
  </si>
  <si>
    <t>SJCC5</t>
  </si>
  <si>
    <t>SJCC6</t>
  </si>
  <si>
    <t>South Coast (Guayanilla)</t>
  </si>
  <si>
    <t>SC3</t>
  </si>
  <si>
    <t>SC4</t>
  </si>
  <si>
    <t>SC5</t>
  </si>
  <si>
    <t>SC6</t>
  </si>
  <si>
    <t>SCGT1-1</t>
  </si>
  <si>
    <t>SCGT1-2</t>
  </si>
  <si>
    <t>Vega Baja</t>
  </si>
  <si>
    <t>VBGT1-1</t>
  </si>
  <si>
    <t>VBGT1-2</t>
  </si>
  <si>
    <t>Yabucoa (Humacao)</t>
  </si>
  <si>
    <t>YAGT1-1</t>
  </si>
  <si>
    <t>YAGT1-2</t>
  </si>
  <si>
    <t>Include?</t>
  </si>
  <si>
    <t>Plant</t>
  </si>
  <si>
    <t>Prime mover</t>
  </si>
  <si>
    <t>Net Generation (MWh)</t>
  </si>
  <si>
    <t>Coal</t>
  </si>
  <si>
    <t>Metric conversion</t>
  </si>
  <si>
    <t>lb/metric ton</t>
  </si>
  <si>
    <t>cMT2LB</t>
  </si>
  <si>
    <t>No. 6 EF</t>
  </si>
  <si>
    <t>metric ton CO2/gallon No. 6</t>
  </si>
  <si>
    <t>cGallon2CO2</t>
  </si>
  <si>
    <t>Calculated from 2012 continental US fleet</t>
  </si>
  <si>
    <t>Step 2 (HRI)</t>
  </si>
  <si>
    <t>Step 3a &amp; 3b (Redispatch)</t>
  </si>
  <si>
    <t>Step 4a Nuclear</t>
  </si>
  <si>
    <t>Step 4b Renewable (MWh)</t>
  </si>
  <si>
    <t>Step 5 (Demand Side EE - % of avoided MWh)</t>
  </si>
  <si>
    <t>Step 6&amp;7 (State Goal Phase I &amp; II (lbs/MWh))</t>
  </si>
  <si>
    <t>State</t>
  </si>
  <si>
    <t>Coal Rate (lb/MWh)</t>
  </si>
  <si>
    <t>NGCC Rate (lb/MWh)</t>
  </si>
  <si>
    <t>O/G rate (lb/MWh)</t>
  </si>
  <si>
    <t>Other Emissions (lbs)</t>
  </si>
  <si>
    <t>Hist Coal Gen (MWh)</t>
  </si>
  <si>
    <t>Hist NGCC Gen. (MWh)</t>
  </si>
  <si>
    <t>Historic OG steam Gen. (MWh)</t>
  </si>
  <si>
    <t>Other Gen. (MWh)</t>
  </si>
  <si>
    <t>NGCC Capacity (MW )</t>
  </si>
  <si>
    <t>Under Construction NGCC Capacity (MW)</t>
  </si>
  <si>
    <t>Adj. Coal Rate (lbs/MWh)</t>
  </si>
  <si>
    <t>Redispatched Coal Gen. (MWh)</t>
  </si>
  <si>
    <t>Redispatched NGCC Gen. (MWh)</t>
  </si>
  <si>
    <t>2012 NGCC Capacity Factor*</t>
  </si>
  <si>
    <t>Nuclear Generation Under Construction and "At Risk" (MWh)</t>
  </si>
  <si>
    <t>2020 Existing and Incremental RE</t>
  </si>
  <si>
    <t>2021 Existing and Incremental RE</t>
  </si>
  <si>
    <t>2022 Existing and Incremental RE</t>
  </si>
  <si>
    <t>2023 Existing and Incremental RE</t>
  </si>
  <si>
    <t>2024 Existing and Incremental RE</t>
  </si>
  <si>
    <t>2025 Existing and Incremental RE</t>
  </si>
  <si>
    <t>2026 Existing and Incremental RE</t>
  </si>
  <si>
    <t>2027 Existing and Incremental RE</t>
  </si>
  <si>
    <t>2028 Existing and Incremental RE</t>
  </si>
  <si>
    <t>2029 Existing and Incremental RE</t>
  </si>
  <si>
    <t>2020 EE Potential</t>
  </si>
  <si>
    <t>2021 EE Potential</t>
  </si>
  <si>
    <t>2022 EE Potential</t>
  </si>
  <si>
    <t>2023 EE Potential</t>
  </si>
  <si>
    <t>2024 EE Potential</t>
  </si>
  <si>
    <t>2025 EE Potential</t>
  </si>
  <si>
    <t>2026 EE Potential</t>
  </si>
  <si>
    <t>2027 EE Potential</t>
  </si>
  <si>
    <t>2028 EE Potential</t>
  </si>
  <si>
    <t>2029 EE Potential (%)</t>
  </si>
  <si>
    <t>State Generation as % of sales</t>
  </si>
  <si>
    <t>2012 Total MWh (+7.51% T&amp;D losses)</t>
  </si>
  <si>
    <t>Interim Goal (2020 - 2029 average)</t>
  </si>
  <si>
    <t>Final Goal (2030)</t>
  </si>
  <si>
    <t>Puerto Rico</t>
  </si>
  <si>
    <t>Guam</t>
  </si>
  <si>
    <t>Navajo</t>
  </si>
  <si>
    <t>Ute</t>
  </si>
  <si>
    <t>Fort Mojave</t>
  </si>
  <si>
    <t>Calculated 2030 and interim targets for territories and tribes w/ existing 2012 RE, lowest non-zero RE, and tech potential RE</t>
  </si>
  <si>
    <t>Fuel consumption (gallons)</t>
  </si>
  <si>
    <t>Cabras (PITI) - GPA</t>
  </si>
  <si>
    <t>Tanguisson (Dededo)</t>
  </si>
  <si>
    <t xml:space="preserve">PITI </t>
  </si>
  <si>
    <t>#7</t>
  </si>
  <si>
    <t xml:space="preserve">Plant Name </t>
  </si>
  <si>
    <t>ORIS code</t>
  </si>
  <si>
    <t>Generator ID</t>
  </si>
  <si>
    <t>Fuel type</t>
  </si>
  <si>
    <t>Prime 
mover type</t>
  </si>
  <si>
    <t>Nameplate 
Capacity 
(MW)</t>
  </si>
  <si>
    <t>Capacity Input</t>
  </si>
  <si>
    <t>Carbon Dioxide 
Emissions (Unadjusted)
(tons)</t>
  </si>
  <si>
    <t xml:space="preserve">Unit Status </t>
  </si>
  <si>
    <t>COALST</t>
  </si>
  <si>
    <t>Four Corners</t>
  </si>
  <si>
    <t>1</t>
  </si>
  <si>
    <t>SUB</t>
  </si>
  <si>
    <t>2</t>
  </si>
  <si>
    <t>3</t>
  </si>
  <si>
    <t>4</t>
  </si>
  <si>
    <t>5</t>
  </si>
  <si>
    <t>NAV1</t>
  </si>
  <si>
    <t>BIT</t>
  </si>
  <si>
    <t>NAV2</t>
  </si>
  <si>
    <t>NAV3</t>
  </si>
  <si>
    <t>Bonanza</t>
  </si>
  <si>
    <t>WC</t>
  </si>
  <si>
    <t>NGCC</t>
  </si>
  <si>
    <t>South Point Energy Center</t>
  </si>
  <si>
    <t>A</t>
  </si>
  <si>
    <t>B</t>
  </si>
  <si>
    <t>ST1</t>
  </si>
  <si>
    <t>Operating</t>
  </si>
  <si>
    <t>Retired</t>
  </si>
  <si>
    <t>Option 1 NGCC capacity factor</t>
  </si>
  <si>
    <t>Option 2 NGCC capacity factor</t>
  </si>
  <si>
    <t>cOpt1NGCC</t>
  </si>
  <si>
    <t>cOpt2NGCC</t>
  </si>
  <si>
    <t>Puerto Rico electricity sales</t>
  </si>
  <si>
    <t>Guam electricity sales</t>
  </si>
  <si>
    <t>Navajo electricity sales</t>
  </si>
  <si>
    <t>Ute electricity sales</t>
  </si>
  <si>
    <t>Fort Mojave electricity sales</t>
  </si>
  <si>
    <t>net MWh</t>
  </si>
  <si>
    <t>cPRSales</t>
  </si>
  <si>
    <t>cGuamSales</t>
  </si>
  <si>
    <t>cNavajoSales</t>
  </si>
  <si>
    <t>cUteSales</t>
  </si>
  <si>
    <t>EIA form 861, 2012 retail sales</t>
  </si>
  <si>
    <t>T&amp;D losses</t>
  </si>
  <si>
    <t>cTDLoss</t>
  </si>
  <si>
    <t>cFtMojaveSales</t>
  </si>
  <si>
    <t>EIA form 861, 2012 retail sales "Navajo Tribal Utility Authority"</t>
  </si>
  <si>
    <t>Redispatched O/G steam Gen. (MWh)</t>
  </si>
  <si>
    <t>Post Redispatched Assumed NGCC Capacity Factor for Existing Fleet</t>
  </si>
  <si>
    <t>Interim Goal (2020 - 2024 average)</t>
  </si>
  <si>
    <t>Final Goal (2025)</t>
  </si>
  <si>
    <t>Data sources not previously listed</t>
  </si>
  <si>
    <t>A. 2012 Unit-level Data Using the eGRID Methodology - EPA-HQ-OAR-2013-0602 at http://www.regulations.gov/#!documentDetail;D=EPA-HQ-OAR-2013-0602-0254</t>
  </si>
  <si>
    <t xml:space="preserve">C. US EPA Clean Air Markets Database - http://ampd.epa.gov/ampd </t>
  </si>
  <si>
    <t>B. US EPA Greenhouse Gas Reporting Program - http://www.epa.gov/ghgreporting</t>
  </si>
  <si>
    <t>C. Guam Power Authority 2013 Integrated Resource Plan - http://guampowerauthority.com/gpa_authority/strategicplanning/documents/2013IRPReportFINAL.pdf</t>
  </si>
  <si>
    <t>Step 2 - Renewables</t>
  </si>
  <si>
    <t>Step 1 - Demand Side EE</t>
  </si>
  <si>
    <t>Step 3 - Redispatch</t>
  </si>
  <si>
    <t>Baseline</t>
  </si>
  <si>
    <t>Electricity generation</t>
  </si>
  <si>
    <t>LNG</t>
  </si>
  <si>
    <t>Oil</t>
  </si>
  <si>
    <t>Base case</t>
  </si>
  <si>
    <t>1. Demand-side EE &amp; RE offset the most expensive generation in the territory (No. 2 or No. 6) from affected EGUs</t>
  </si>
  <si>
    <t>2020 coal cost</t>
  </si>
  <si>
    <t>2025 coal cost</t>
  </si>
  <si>
    <t>2030 coal cost</t>
  </si>
  <si>
    <t>2020 LNG cost</t>
  </si>
  <si>
    <t>2025 LNG cost</t>
  </si>
  <si>
    <t>2030 LNG cost</t>
  </si>
  <si>
    <t>2020 No. 6 cost (PR)</t>
  </si>
  <si>
    <t>2025 No. 6 cost (PR)</t>
  </si>
  <si>
    <t>2030 No. 6 cost (PR)</t>
  </si>
  <si>
    <t>2025 No. 2 cost (PR)</t>
  </si>
  <si>
    <t>2030 No. 2 cost (PR)</t>
  </si>
  <si>
    <t>2020 No. 2 cost (PR)</t>
  </si>
  <si>
    <t>2020 No. 6 cost (Guam)</t>
  </si>
  <si>
    <t>2025 No. 6 cost (Guam)</t>
  </si>
  <si>
    <t>2030 No. 6 cost (Guam)</t>
  </si>
  <si>
    <t>2012$:2011$</t>
  </si>
  <si>
    <t>$/mmBtu</t>
  </si>
  <si>
    <t>A. EIA, AEO 2014 (Energy Prices by Sector and Source, United States - reference case) - http://www.eia.gov/oiaf/aeo/tablebrowser/#release=AEO2014&amp;subject=0-AEO2014&amp;table=3-AEO2014&amp;region=1-0&amp;cases=ref2014-d102413a</t>
  </si>
  <si>
    <t>South Atlantic region fuel cost projections (EIA, AEO 2014)</t>
  </si>
  <si>
    <t>Pacific region fuel cost projectsion (EIA, AEO 2014)</t>
  </si>
  <si>
    <t>South Atlantic region fuel cost projections (EIA, AEO 2014) + LNG adder</t>
  </si>
  <si>
    <t xml:space="preserve">2. LNG is available to PR at regional NG prices with a $3.50 adder for liquefaction and transportation (from </t>
  </si>
  <si>
    <t xml:space="preserve">     Galway &amp; PREPA study - http://www.gdb-pur.com/investors_resources/documents/GNRoundtable-v2FINAL-GS.pdf</t>
  </si>
  <si>
    <t>LNG adder</t>
  </si>
  <si>
    <t>Adder for liquefaction and transportation (Galway &amp; PREPA)</t>
  </si>
  <si>
    <t>2012 PR coal/(coal + oil)</t>
  </si>
  <si>
    <t>2012 PR oil/(coal + oil)</t>
  </si>
  <si>
    <t>cPRCoalShare</t>
  </si>
  <si>
    <t>cPROilShare</t>
  </si>
  <si>
    <t>cLNGAdder</t>
  </si>
  <si>
    <t>Implementation costs &amp; CO2 reductions</t>
  </si>
  <si>
    <t>Fuel savings ($)</t>
  </si>
  <si>
    <t>Capital ($) - HRI</t>
  </si>
  <si>
    <t>Annualized cost of HRI tech upgrades</t>
  </si>
  <si>
    <t>$/MW</t>
  </si>
  <si>
    <t>cHRIEquipCost</t>
  </si>
  <si>
    <t>cCoalCost20PR</t>
  </si>
  <si>
    <t>cCoalCost25PR</t>
  </si>
  <si>
    <t>cCoalCost30PR</t>
  </si>
  <si>
    <t>cLNGCost25PR</t>
  </si>
  <si>
    <t>cLNGCost20PR</t>
  </si>
  <si>
    <t>cLNGCost30PR</t>
  </si>
  <si>
    <t>cNo2Cost20PR</t>
  </si>
  <si>
    <t>cNo2Cost25PR</t>
  </si>
  <si>
    <t>cNo2Cost30PR</t>
  </si>
  <si>
    <t>cNo6Cost20PR</t>
  </si>
  <si>
    <t>cNo6Cost25PR</t>
  </si>
  <si>
    <t>cNo6Cost30PR</t>
  </si>
  <si>
    <t>cNo6Cost20GM</t>
  </si>
  <si>
    <t>cNo6Cost25GM</t>
  </si>
  <si>
    <t>cNo6Cost30GM</t>
  </si>
  <si>
    <t>Option 1 (0 RE)</t>
  </si>
  <si>
    <t>Option 1 (.37% RE)</t>
  </si>
  <si>
    <t>Option 2 (0 RE)</t>
  </si>
  <si>
    <t>Option 2 (.37% RE)</t>
  </si>
  <si>
    <t>http://www.gpo.gov/fdsys/browse/collection.action?collectionCode=ECONI</t>
  </si>
  <si>
    <t>Option 1A - 2030 goal (6% HRI, 70% NGCC utilization) w/ 2012 non-hydro renewable generation</t>
  </si>
  <si>
    <t>Option 1B - 2030 goal (6% HRI, 70% NGCC utilization) w/ 2012 US lowest non-zero renewable generation</t>
  </si>
  <si>
    <t>Option 1 Alternative - 2030 goal (6% HRI, 70% NGCC utilization) w/ 2012 technical potential renewable generation</t>
  </si>
  <si>
    <t>Option 2A - 2025 goal (4% HRI, 65% NGCC utilization) w/ 2012 non-hydro renewable generation</t>
  </si>
  <si>
    <t>Option 2B - 2025 goal (4% HRI, 65% NGCC utilization) w/ 2012 US lowest non-zero renewable generation</t>
  </si>
  <si>
    <t>40CFR Part 98 Subpart C, Table C-1</t>
  </si>
  <si>
    <t>Net Energy Output (MWh)</t>
  </si>
  <si>
    <t>cDollar2011</t>
  </si>
  <si>
    <t>Unit type</t>
  </si>
  <si>
    <t>App 1 - Info</t>
  </si>
  <si>
    <t>Info about the workbook, methodology, assumptions, etc… for calculating tribe and territory goals</t>
  </si>
  <si>
    <t>App 1 - Guam</t>
  </si>
  <si>
    <t>App 1 - PR</t>
  </si>
  <si>
    <t>Unfiltered Guam electric system data used for analysis</t>
  </si>
  <si>
    <t>Unfiltered Puerto Rico data used for analysis</t>
  </si>
  <si>
    <t>Unfiltered Navajo, Ute, and Fort Mojave data used for analysis</t>
  </si>
  <si>
    <t>App 1 - Tribes</t>
  </si>
  <si>
    <t>App 2 - Goals option 1</t>
  </si>
  <si>
    <t>App 2 - Goals option 2</t>
  </si>
  <si>
    <t>Calculated 2025 and interim targets for territories and tribes w/ existing 2012 RE and lowest non-zero RE</t>
  </si>
  <si>
    <t>App 3 - Cost info</t>
  </si>
  <si>
    <t>App 3 - Cost analysis</t>
  </si>
  <si>
    <t>Info about the methodology, assumptions, etc… for calculating the cost of achieving the goals</t>
  </si>
  <si>
    <t>Calculated capital costs and fuel costs for achieving the interim and final goals (option 1 and option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</si>
</sst>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7F7F7F"/>
      <name val="Calibri"/>
      <family val="2"/>
    </font>
    <font>
      <i/>
      <sz val="11"/>
      <color rgb="FF7F7F7F"/>
      <name val="Calibri"/>
      <family val="2"/>
    </font>
    <font>
      <i/>
      <sz val="8"/>
      <color rgb="FF7F7F7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ashed">
        <color theme="7" tint="-0.24994659260841701"/>
      </left>
      <right style="dashed">
        <color theme="7" tint="-0.24994659260841701"/>
      </right>
      <top style="dashed">
        <color theme="7" tint="-0.24994659260841701"/>
      </top>
      <bottom style="dashed">
        <color theme="7" tint="-0.24994659260841701"/>
      </bottom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 style="thin">
        <color indexed="64"/>
      </bottom>
      <diagonal/>
    </border>
  </borders>
  <cellStyleXfs count="15">
    <xf numFmtId="0" fontId="0" fillId="0" borderId="0"/>
    <xf numFmtId="0" fontId="4" fillId="0" borderId="1" applyNumberFormat="0" applyFill="0" applyAlignment="0" applyProtection="0"/>
    <xf numFmtId="0" fontId="1" fillId="0" borderId="2" applyNumberFormat="0" applyFill="0" applyAlignment="0" applyProtection="0"/>
    <xf numFmtId="0" fontId="3" fillId="2" borderId="3" applyNumberFormat="0" applyProtection="0">
      <alignment horizontal="right"/>
    </xf>
    <xf numFmtId="0" fontId="3" fillId="3" borderId="4" applyNumberFormat="0">
      <alignment horizontal="right" wrapText="1"/>
    </xf>
    <xf numFmtId="0" fontId="5" fillId="4" borderId="5" applyProtection="0">
      <alignment horizontal="right" wrapText="1"/>
    </xf>
    <xf numFmtId="0" fontId="3" fillId="3" borderId="4">
      <alignment horizontal="right" wrapText="1"/>
    </xf>
    <xf numFmtId="0" fontId="2" fillId="0" borderId="0" applyFill="0" applyBorder="0" applyAlignment="0" applyProtection="0"/>
    <xf numFmtId="0" fontId="3" fillId="2" borderId="3" applyProtection="0">
      <alignment horizontal="right"/>
    </xf>
    <xf numFmtId="0" fontId="6" fillId="5" borderId="6" applyAlignment="0"/>
    <xf numFmtId="0" fontId="7" fillId="0" borderId="7" applyFill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1" xfId="1"/>
    <xf numFmtId="0" fontId="1" fillId="0" borderId="2" xfId="2"/>
    <xf numFmtId="0" fontId="3" fillId="2" borderId="3" xfId="8">
      <alignment horizontal="right"/>
    </xf>
    <xf numFmtId="0" fontId="2" fillId="0" borderId="0" xfId="7"/>
    <xf numFmtId="0" fontId="7" fillId="0" borderId="7" xfId="10"/>
    <xf numFmtId="0" fontId="2" fillId="0" borderId="0" xfId="7" applyAlignment="1">
      <alignment horizontal="left"/>
    </xf>
    <xf numFmtId="0" fontId="8" fillId="0" borderId="0" xfId="0" applyFont="1"/>
    <xf numFmtId="0" fontId="2" fillId="0" borderId="0" xfId="7" applyAlignment="1">
      <alignment horizontal="left"/>
    </xf>
    <xf numFmtId="164" fontId="3" fillId="2" borderId="3" xfId="8" applyNumberFormat="1">
      <alignment horizontal="right"/>
    </xf>
    <xf numFmtId="0" fontId="8" fillId="0" borderId="0" xfId="0" applyFont="1" applyAlignment="1">
      <alignment wrapText="1"/>
    </xf>
    <xf numFmtId="0" fontId="11" fillId="0" borderId="0" xfId="7" applyFont="1"/>
    <xf numFmtId="1" fontId="12" fillId="3" borderId="4" xfId="6" applyNumberFormat="1" applyFont="1">
      <alignment horizontal="right" wrapText="1"/>
    </xf>
    <xf numFmtId="0" fontId="8" fillId="0" borderId="9" xfId="0" applyFont="1" applyBorder="1"/>
    <xf numFmtId="0" fontId="15" fillId="0" borderId="10" xfId="0" applyFont="1" applyBorder="1"/>
    <xf numFmtId="0" fontId="15" fillId="8" borderId="10" xfId="0" applyFont="1" applyFill="1" applyBorder="1" applyAlignment="1">
      <alignment horizontal="center" wrapText="1"/>
    </xf>
    <xf numFmtId="3" fontId="15" fillId="10" borderId="10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wrapText="1"/>
    </xf>
    <xf numFmtId="0" fontId="16" fillId="7" borderId="10" xfId="0" applyFont="1" applyFill="1" applyBorder="1" applyAlignment="1">
      <alignment wrapText="1"/>
    </xf>
    <xf numFmtId="0" fontId="16" fillId="8" borderId="10" xfId="0" applyFont="1" applyFill="1" applyBorder="1" applyAlignment="1">
      <alignment wrapText="1"/>
    </xf>
    <xf numFmtId="0" fontId="16" fillId="9" borderId="10" xfId="0" applyFont="1" applyFill="1" applyBorder="1" applyAlignment="1">
      <alignment wrapText="1"/>
    </xf>
    <xf numFmtId="0" fontId="16" fillId="10" borderId="10" xfId="0" applyFont="1" applyFill="1" applyBorder="1" applyAlignment="1">
      <alignment wrapText="1"/>
    </xf>
    <xf numFmtId="0" fontId="16" fillId="11" borderId="10" xfId="0" applyFont="1" applyFill="1" applyBorder="1" applyAlignment="1">
      <alignment wrapText="1"/>
    </xf>
    <xf numFmtId="0" fontId="16" fillId="12" borderId="10" xfId="0" applyFont="1" applyFill="1" applyBorder="1" applyAlignment="1">
      <alignment wrapText="1"/>
    </xf>
    <xf numFmtId="3" fontId="16" fillId="12" borderId="10" xfId="0" applyNumberFormat="1" applyFont="1" applyFill="1" applyBorder="1" applyAlignment="1">
      <alignment wrapText="1"/>
    </xf>
    <xf numFmtId="0" fontId="16" fillId="13" borderId="10" xfId="0" applyFont="1" applyFill="1" applyBorder="1" applyAlignment="1">
      <alignment wrapText="1"/>
    </xf>
    <xf numFmtId="0" fontId="15" fillId="13" borderId="10" xfId="0" applyFont="1" applyFill="1" applyBorder="1" applyAlignment="1">
      <alignment wrapText="1"/>
    </xf>
    <xf numFmtId="0" fontId="16" fillId="0" borderId="10" xfId="0" applyFont="1" applyBorder="1"/>
    <xf numFmtId="3" fontId="16" fillId="7" borderId="10" xfId="0" applyNumberFormat="1" applyFont="1" applyFill="1" applyBorder="1"/>
    <xf numFmtId="3" fontId="16" fillId="8" borderId="10" xfId="0" applyNumberFormat="1" applyFont="1" applyFill="1" applyBorder="1"/>
    <xf numFmtId="3" fontId="16" fillId="9" borderId="10" xfId="0" applyNumberFormat="1" applyFont="1" applyFill="1" applyBorder="1"/>
    <xf numFmtId="9" fontId="16" fillId="9" borderId="10" xfId="12" applyFont="1" applyFill="1" applyBorder="1"/>
    <xf numFmtId="3" fontId="16" fillId="10" borderId="10" xfId="0" applyNumberFormat="1" applyFont="1" applyFill="1" applyBorder="1"/>
    <xf numFmtId="3" fontId="16" fillId="11" borderId="10" xfId="0" applyNumberFormat="1" applyFont="1" applyFill="1" applyBorder="1"/>
    <xf numFmtId="3" fontId="16" fillId="13" borderId="10" xfId="0" applyNumberFormat="1" applyFont="1" applyFill="1" applyBorder="1"/>
    <xf numFmtId="3" fontId="15" fillId="13" borderId="10" xfId="0" applyNumberFormat="1" applyFont="1" applyFill="1" applyBorder="1"/>
    <xf numFmtId="10" fontId="16" fillId="12" borderId="10" xfId="12" applyNumberFormat="1" applyFont="1" applyFill="1" applyBorder="1"/>
    <xf numFmtId="0" fontId="11" fillId="0" borderId="9" xfId="7" applyNumberFormat="1" applyFont="1" applyBorder="1"/>
    <xf numFmtId="0" fontId="14" fillId="6" borderId="0" xfId="0" applyFont="1" applyFill="1" applyBorder="1" applyAlignment="1">
      <alignment wrapText="1"/>
    </xf>
    <xf numFmtId="9" fontId="16" fillId="12" borderId="10" xfId="12" applyFont="1" applyFill="1" applyBorder="1"/>
    <xf numFmtId="3" fontId="16" fillId="12" borderId="10" xfId="0" applyNumberFormat="1" applyFont="1" applyFill="1" applyBorder="1"/>
    <xf numFmtId="3" fontId="16" fillId="2" borderId="10" xfId="0" applyNumberFormat="1" applyFont="1" applyFill="1" applyBorder="1"/>
    <xf numFmtId="1" fontId="8" fillId="0" borderId="0" xfId="0" applyNumberFormat="1" applyFont="1"/>
    <xf numFmtId="0" fontId="18" fillId="0" borderId="0" xfId="14"/>
    <xf numFmtId="2" fontId="3" fillId="2" borderId="3" xfId="8" applyNumberFormat="1">
      <alignment horizontal="right"/>
    </xf>
    <xf numFmtId="9" fontId="3" fillId="2" borderId="3" xfId="12" applyFont="1" applyFill="1" applyBorder="1" applyAlignment="1">
      <alignment horizontal="right"/>
    </xf>
    <xf numFmtId="10" fontId="3" fillId="2" borderId="3" xfId="12" applyNumberFormat="1" applyFont="1" applyFill="1" applyBorder="1" applyAlignment="1">
      <alignment horizontal="right"/>
    </xf>
    <xf numFmtId="0" fontId="16" fillId="14" borderId="10" xfId="0" applyFont="1" applyFill="1" applyBorder="1" applyAlignment="1">
      <alignment horizontal="center"/>
    </xf>
    <xf numFmtId="0" fontId="16" fillId="14" borderId="10" xfId="0" applyFont="1" applyFill="1" applyBorder="1"/>
    <xf numFmtId="0" fontId="16" fillId="15" borderId="10" xfId="0" applyFont="1" applyFill="1" applyBorder="1"/>
    <xf numFmtId="0" fontId="16" fillId="16" borderId="10" xfId="0" applyFont="1" applyFill="1" applyBorder="1"/>
    <xf numFmtId="0" fontId="16" fillId="4" borderId="10" xfId="0" applyFont="1" applyFill="1" applyBorder="1"/>
    <xf numFmtId="0" fontId="16" fillId="2" borderId="10" xfId="0" applyFont="1" applyFill="1" applyBorder="1"/>
    <xf numFmtId="3" fontId="16" fillId="14" borderId="10" xfId="0" applyNumberFormat="1" applyFont="1" applyFill="1" applyBorder="1"/>
    <xf numFmtId="3" fontId="16" fillId="15" borderId="10" xfId="0" applyNumberFormat="1" applyFont="1" applyFill="1" applyBorder="1"/>
    <xf numFmtId="3" fontId="16" fillId="16" borderId="10" xfId="0" applyNumberFormat="1" applyFont="1" applyFill="1" applyBorder="1"/>
    <xf numFmtId="3" fontId="16" fillId="4" borderId="10" xfId="0" applyNumberFormat="1" applyFont="1" applyFill="1" applyBorder="1"/>
    <xf numFmtId="1" fontId="3" fillId="2" borderId="3" xfId="8" applyNumberFormat="1">
      <alignment horizontal="right"/>
    </xf>
    <xf numFmtId="0" fontId="19" fillId="0" borderId="1" xfId="1" applyFont="1"/>
    <xf numFmtId="0" fontId="20" fillId="0" borderId="0" xfId="0" applyFont="1"/>
    <xf numFmtId="165" fontId="16" fillId="0" borderId="10" xfId="11" applyNumberFormat="1" applyFont="1" applyBorder="1"/>
    <xf numFmtId="3" fontId="16" fillId="0" borderId="10" xfId="0" applyNumberFormat="1" applyFont="1" applyBorder="1"/>
    <xf numFmtId="0" fontId="19" fillId="0" borderId="0" xfId="1" applyFont="1" applyBorder="1"/>
    <xf numFmtId="0" fontId="16" fillId="0" borderId="0" xfId="0" applyFont="1" applyBorder="1"/>
    <xf numFmtId="3" fontId="16" fillId="0" borderId="0" xfId="0" applyNumberFormat="1" applyFont="1" applyBorder="1"/>
    <xf numFmtId="0" fontId="2" fillId="0" borderId="0" xfId="7" applyAlignment="1">
      <alignment horizontal="left"/>
    </xf>
    <xf numFmtId="0" fontId="2" fillId="0" borderId="8" xfId="7" applyBorder="1" applyAlignment="1">
      <alignment horizontal="left"/>
    </xf>
    <xf numFmtId="0" fontId="2" fillId="0" borderId="0" xfId="7" applyAlignment="1">
      <alignment horizontal="left"/>
    </xf>
    <xf numFmtId="0" fontId="15" fillId="7" borderId="11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3" fontId="15" fillId="9" borderId="14" xfId="0" applyNumberFormat="1" applyFont="1" applyFill="1" applyBorder="1" applyAlignment="1">
      <alignment horizontal="center"/>
    </xf>
    <xf numFmtId="3" fontId="15" fillId="9" borderId="15" xfId="0" applyNumberFormat="1" applyFont="1" applyFill="1" applyBorder="1" applyAlignment="1">
      <alignment horizontal="center"/>
    </xf>
    <xf numFmtId="3" fontId="15" fillId="9" borderId="16" xfId="0" applyNumberFormat="1" applyFont="1" applyFill="1" applyBorder="1" applyAlignment="1">
      <alignment horizontal="center"/>
    </xf>
    <xf numFmtId="3" fontId="15" fillId="11" borderId="14" xfId="0" applyNumberFormat="1" applyFont="1" applyFill="1" applyBorder="1" applyAlignment="1">
      <alignment horizontal="center"/>
    </xf>
    <xf numFmtId="3" fontId="15" fillId="11" borderId="15" xfId="0" applyNumberFormat="1" applyFont="1" applyFill="1" applyBorder="1" applyAlignment="1">
      <alignment horizontal="center"/>
    </xf>
    <xf numFmtId="3" fontId="15" fillId="11" borderId="16" xfId="0" applyNumberFormat="1" applyFont="1" applyFill="1" applyBorder="1" applyAlignment="1">
      <alignment horizontal="center"/>
    </xf>
    <xf numFmtId="0" fontId="15" fillId="12" borderId="14" xfId="0" applyFont="1" applyFill="1" applyBorder="1" applyAlignment="1">
      <alignment horizontal="center"/>
    </xf>
    <xf numFmtId="0" fontId="15" fillId="12" borderId="15" xfId="0" applyFont="1" applyFill="1" applyBorder="1" applyAlignment="1">
      <alignment horizontal="center"/>
    </xf>
    <xf numFmtId="0" fontId="15" fillId="12" borderId="16" xfId="0" applyFont="1" applyFill="1" applyBorder="1" applyAlignment="1">
      <alignment horizontal="center"/>
    </xf>
    <xf numFmtId="0" fontId="15" fillId="13" borderId="14" xfId="0" applyFont="1" applyFill="1" applyBorder="1" applyAlignment="1">
      <alignment horizontal="center"/>
    </xf>
    <xf numFmtId="0" fontId="15" fillId="13" borderId="15" xfId="0" applyFont="1" applyFill="1" applyBorder="1" applyAlignment="1">
      <alignment horizontal="center"/>
    </xf>
    <xf numFmtId="0" fontId="15" fillId="13" borderId="16" xfId="0" applyFont="1" applyFill="1" applyBorder="1" applyAlignment="1">
      <alignment horizontal="center"/>
    </xf>
    <xf numFmtId="0" fontId="16" fillId="15" borderId="10" xfId="0" applyFont="1" applyFill="1" applyBorder="1" applyAlignment="1">
      <alignment horizontal="center"/>
    </xf>
    <xf numFmtId="0" fontId="16" fillId="16" borderId="1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15" borderId="17" xfId="0" applyFont="1" applyFill="1" applyBorder="1" applyAlignment="1">
      <alignment horizontal="center"/>
    </xf>
    <xf numFmtId="0" fontId="16" fillId="15" borderId="18" xfId="0" applyFont="1" applyFill="1" applyBorder="1" applyAlignment="1">
      <alignment horizontal="center"/>
    </xf>
    <xf numFmtId="0" fontId="16" fillId="16" borderId="17" xfId="0" applyFont="1" applyFill="1" applyBorder="1" applyAlignment="1">
      <alignment horizontal="center"/>
    </xf>
    <xf numFmtId="0" fontId="16" fillId="16" borderId="18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2" fillId="0" borderId="0" xfId="7" applyBorder="1" applyAlignment="1">
      <alignment horizontal="left"/>
    </xf>
    <xf numFmtId="0" fontId="0" fillId="0" borderId="0" xfId="0" applyBorder="1"/>
    <xf numFmtId="0" fontId="2" fillId="0" borderId="0" xfId="7" applyBorder="1" applyAlignment="1">
      <alignment horizontal="left"/>
    </xf>
  </cellXfs>
  <cellStyles count="15">
    <cellStyle name="Calculated output" xfId="6"/>
    <cellStyle name="Currency" xfId="11" builtinId="4"/>
    <cellStyle name="Explanation" xfId="7"/>
    <cellStyle name="Heading 1" xfId="1" builtinId="16" customBuiltin="1"/>
    <cellStyle name="Heading 1 2" xfId="13"/>
    <cellStyle name="Heading 2" xfId="2" builtinId="17"/>
    <cellStyle name="Hyperlink" xfId="14" builtinId="8"/>
    <cellStyle name="Input" xfId="3" builtinId="20" customBuiltin="1"/>
    <cellStyle name="Interim calculation" xfId="5"/>
    <cellStyle name="Normal" xfId="0" builtinId="0"/>
    <cellStyle name="Output" xfId="4" builtinId="21" customBuiltin="1"/>
    <cellStyle name="Percent" xfId="12" builtinId="5"/>
    <cellStyle name="QA test" xfId="9"/>
    <cellStyle name="Table title" xfId="10"/>
    <cellStyle name="User input" xfId="8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7F7F7F"/>
        <name val="Calibri"/>
        <scheme val="minor"/>
      </font>
      <border outline="0">
        <left style="thin">
          <color theme="0" tint="-0.499984740745262"/>
        </left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border outline="0">
        <right style="thin">
          <color theme="0" tint="-0.49998474074526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7F7F7F"/>
        <name val="Calibri"/>
        <scheme val="minor"/>
      </font>
      <numFmt numFmtId="0" formatCode="General"/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border outline="0">
        <left style="thin">
          <color theme="0" tint="-0.499984740745262"/>
        </left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 style="thin">
          <color theme="0" tint="-0.499984740745262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chreif/Desktop/SNPR%20goals%20v2%20-%20testing%20changes%20to%20territo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oals - option 1"/>
      <sheetName val="Goals - option 1 (.37% RE)"/>
      <sheetName val="Goals - option 1 (TP RE)"/>
      <sheetName val="Goals - option 2"/>
      <sheetName val="Goals - option 2 (.37% RE)"/>
      <sheetName val="PR"/>
      <sheetName val="USVI"/>
      <sheetName val="Guam"/>
      <sheetName val="Tribes"/>
      <sheetName val="Fuel costs"/>
      <sheetName val="Cost analysis  - option 1"/>
      <sheetName val="Cost analysis  - option 1 (.37)"/>
      <sheetName val="Cost analysis  - option 2"/>
      <sheetName val="Cost analysis  - option 2 (.37)"/>
    </sheetNames>
    <sheetDataSet>
      <sheetData sheetId="0">
        <row r="15">
          <cell r="E15">
            <v>0.30706500000000003</v>
          </cell>
        </row>
        <row r="16">
          <cell r="E16">
            <v>0.28845500000000002</v>
          </cell>
        </row>
        <row r="17">
          <cell r="E17">
            <v>0.4864</v>
          </cell>
        </row>
        <row r="18">
          <cell r="E18">
            <v>0.29307112460000001</v>
          </cell>
        </row>
        <row r="20">
          <cell r="E20">
            <v>1.124047619047619E-2</v>
          </cell>
        </row>
        <row r="21">
          <cell r="E21">
            <v>11</v>
          </cell>
        </row>
        <row r="22">
          <cell r="E22">
            <v>6.5</v>
          </cell>
        </row>
        <row r="23">
          <cell r="E23">
            <v>11</v>
          </cell>
        </row>
        <row r="24">
          <cell r="E24">
            <v>14300</v>
          </cell>
        </row>
        <row r="25">
          <cell r="E25">
            <v>127.70695852271648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>
        <row r="3">
          <cell r="H3">
            <v>3.3331516174428999</v>
          </cell>
          <cell r="I3">
            <v>3.472646910598483</v>
          </cell>
          <cell r="J3">
            <v>3.6298247057033644</v>
          </cell>
        </row>
        <row r="5">
          <cell r="H5">
            <v>13.191146454177208</v>
          </cell>
          <cell r="I5">
            <v>14.873931223018847</v>
          </cell>
          <cell r="J5">
            <v>16.624498915999467</v>
          </cell>
        </row>
        <row r="6">
          <cell r="H6">
            <v>13.645979698761959</v>
          </cell>
          <cell r="I6">
            <v>15.329746828823005</v>
          </cell>
          <cell r="J6">
            <v>16.841600745488083</v>
          </cell>
        </row>
        <row r="7">
          <cell r="H7">
            <v>9.3962850636137176</v>
          </cell>
          <cell r="I7">
            <v>10.063308331590058</v>
          </cell>
          <cell r="J7">
            <v>10.705772569081262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3" name="tGuamEGUs" displayName="tGuamEGUs" ref="A1:J6" totalsRowShown="0" headerRowDxfId="37" dataDxfId="36" tableBorderDxfId="35">
  <autoFilter ref="A1:J6"/>
  <tableColumns count="10">
    <tableColumn id="1" name="Include?" dataDxfId="34"/>
    <tableColumn id="2" name="Plant" dataDxfId="33"/>
    <tableColumn id="3" name="Unit" dataDxfId="32"/>
    <tableColumn id="4" name="Fuel" dataDxfId="31"/>
    <tableColumn id="6" name="Prime mover" dataDxfId="30"/>
    <tableColumn id="7" name="Capacity (MW)" dataDxfId="29"/>
    <tableColumn id="14" name="Fuel consumption (gallons)" dataDxfId="28"/>
    <tableColumn id="9" name="CO2 (MT)" dataDxfId="27" dataCellStyle="Calculated output">
      <calculatedColumnFormula>tGuamEGUs[[#This Row],[Fuel consumption (gallons)]]*cGallon2CO2</calculatedColumnFormula>
    </tableColumn>
    <tableColumn id="11" name="Net Generation (MWh)" dataDxfId="26" dataCellStyle="Normal">
      <calculatedColumnFormula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calculatedColumnFormula>
    </tableColumn>
    <tableColumn id="12" name="Notes" dataDxfId="25" dataCellStyle="Explanation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PREGUs" displayName="tPREGUs" ref="A1:I48" totalsRowShown="0" headerRowDxfId="24" dataDxfId="23">
  <autoFilter ref="A1:I48"/>
  <tableColumns count="9">
    <tableColumn id="1" name="Include?" dataDxfId="22"/>
    <tableColumn id="2" name="Plant" dataDxfId="21"/>
    <tableColumn id="3" name="Unit" dataDxfId="20"/>
    <tableColumn id="4" name="Fuel" dataDxfId="19"/>
    <tableColumn id="6" name="Prime mover" dataDxfId="18"/>
    <tableColumn id="7" name="Capacity (MW)" dataDxfId="17"/>
    <tableColumn id="9" name="CO2 (MT)" dataDxfId="16"/>
    <tableColumn id="11" name="Net Generation (MWh)" dataDxfId="15" dataCellStyle="Calculated output">
      <calculatedColumnFormula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calculatedColumnFormula>
    </tableColumn>
    <tableColumn id="13" name="Notes" dataDxfId="14" dataCellStyle="Explanation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TribalEGUs" displayName="tTribalEGUs" ref="A1:L14" totalsRowShown="0" headerRowDxfId="13" dataDxfId="12">
  <autoFilter ref="A1:L14"/>
  <tableColumns count="12">
    <tableColumn id="1" name="Unit type" dataDxfId="11"/>
    <tableColumn id="2" name="State" dataDxfId="10"/>
    <tableColumn id="3" name="Plant Name " dataDxfId="9"/>
    <tableColumn id="4" name="ORIS code" dataDxfId="8"/>
    <tableColumn id="5" name="Generator ID" dataDxfId="7"/>
    <tableColumn id="6" name="Fuel type" dataDxfId="6"/>
    <tableColumn id="7" name="Prime _x000a_mover type" dataDxfId="5"/>
    <tableColumn id="8" name="Nameplate _x000a_Capacity _x000a_(MW)" dataDxfId="4"/>
    <tableColumn id="9" name="Capacity Input" dataDxfId="3"/>
    <tableColumn id="11" name="Net Energy Output (MWh)" dataDxfId="2"/>
    <tableColumn id="12" name="Carbon Dioxide _x000a_Emissions (Unadjusted)_x000a_(tons)" dataDxfId="1"/>
    <tableColumn id="13" name="Unit Status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gulations.gov/" TargetMode="External"/><Relationship Id="rId2" Type="http://schemas.openxmlformats.org/officeDocument/2006/relationships/hyperlink" Target="http://www.epa.gov/ghgreporting/index.html" TargetMode="External"/><Relationship Id="rId1" Type="http://schemas.openxmlformats.org/officeDocument/2006/relationships/hyperlink" Target="http://ampd.epa.gov/amp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guampowerauthority.com/gpa_authority/strategicplanning/documents/2013IRPReport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db-pur.com/investors_resources/documents/GNRoundtable-v2FINAL-GS.pdf" TargetMode="External"/><Relationship Id="rId1" Type="http://schemas.openxmlformats.org/officeDocument/2006/relationships/hyperlink" Target="http://www.eia.gov/oiaf/aeo/tablebrowser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50"/>
  <sheetViews>
    <sheetView showGridLines="0" tabSelected="1" workbookViewId="0"/>
  </sheetViews>
  <sheetFormatPr defaultRowHeight="15" x14ac:dyDescent="0.25"/>
  <cols>
    <col min="1" max="1" width="27.7109375" customWidth="1"/>
    <col min="2" max="2" width="13.28515625" customWidth="1"/>
    <col min="3" max="3" width="25.42578125" customWidth="1"/>
    <col min="4" max="4" width="13.28515625" customWidth="1"/>
    <col min="5" max="5" width="39" customWidth="1"/>
  </cols>
  <sheetData>
    <row r="1" spans="1:5" ht="21.75" thickBot="1" x14ac:dyDescent="0.4">
      <c r="A1" s="1" t="s">
        <v>10</v>
      </c>
      <c r="B1" s="1"/>
      <c r="C1" s="1"/>
      <c r="D1" s="1"/>
      <c r="E1" s="1"/>
    </row>
    <row r="2" spans="1:5" ht="15.75" thickTop="1" x14ac:dyDescent="0.25">
      <c r="A2" t="str">
        <f ca="1">MID(CELL("filename"), SEARCH("[",CELL("filename"))+1,SEARCH("]",CELL("filename"))-SEARCH("[",CELL("filename"))-1)</f>
        <v>TribeTerritoryGoals2.xlsx</v>
      </c>
    </row>
    <row r="4" spans="1:5" ht="18" thickBot="1" x14ac:dyDescent="0.35">
      <c r="A4" s="2" t="s">
        <v>0</v>
      </c>
      <c r="B4" s="2"/>
      <c r="C4" s="2"/>
      <c r="D4" s="2"/>
      <c r="E4" s="2"/>
    </row>
    <row r="5" spans="1:5" ht="15.75" thickTop="1" x14ac:dyDescent="0.25">
      <c r="A5" s="4" t="s">
        <v>11</v>
      </c>
      <c r="B5" s="4"/>
      <c r="C5" s="4"/>
      <c r="D5" s="4"/>
      <c r="E5" s="4"/>
    </row>
    <row r="6" spans="1:5" x14ac:dyDescent="0.25">
      <c r="A6" s="4" t="s">
        <v>12</v>
      </c>
      <c r="B6" s="4"/>
      <c r="C6" s="4"/>
      <c r="D6" s="4"/>
      <c r="E6" s="4"/>
    </row>
    <row r="7" spans="1:5" x14ac:dyDescent="0.25">
      <c r="A7" s="4" t="s">
        <v>13</v>
      </c>
      <c r="B7" s="4"/>
      <c r="C7" s="4"/>
      <c r="D7" s="4"/>
      <c r="E7" s="4"/>
    </row>
    <row r="9" spans="1:5" ht="18" thickBot="1" x14ac:dyDescent="0.35">
      <c r="A9" s="2" t="s">
        <v>1</v>
      </c>
      <c r="B9" s="2"/>
      <c r="C9" s="2"/>
      <c r="D9" s="2"/>
      <c r="E9" s="2"/>
    </row>
    <row r="10" spans="1:5" ht="15.75" thickTop="1" x14ac:dyDescent="0.25">
      <c r="A10" s="5" t="s">
        <v>5</v>
      </c>
      <c r="B10" s="5" t="s">
        <v>6</v>
      </c>
      <c r="C10" s="5" t="s">
        <v>9</v>
      </c>
      <c r="D10" s="5" t="s">
        <v>7</v>
      </c>
      <c r="E10" s="5" t="s">
        <v>8</v>
      </c>
    </row>
    <row r="11" spans="1:5" x14ac:dyDescent="0.25">
      <c r="A11" t="s">
        <v>17</v>
      </c>
      <c r="B11" s="3">
        <v>8784</v>
      </c>
      <c r="C11" t="s">
        <v>16</v>
      </c>
      <c r="D11" t="s">
        <v>19</v>
      </c>
      <c r="E11" s="4"/>
    </row>
    <row r="12" spans="1:5" x14ac:dyDescent="0.25">
      <c r="A12" t="s">
        <v>14</v>
      </c>
      <c r="B12" s="3">
        <v>1800</v>
      </c>
      <c r="C12" t="s">
        <v>23</v>
      </c>
      <c r="D12" t="s">
        <v>20</v>
      </c>
      <c r="E12" s="4" t="s">
        <v>41</v>
      </c>
    </row>
    <row r="13" spans="1:5" x14ac:dyDescent="0.25">
      <c r="A13" t="s">
        <v>15</v>
      </c>
      <c r="B13" s="3">
        <v>1420</v>
      </c>
      <c r="C13" t="s">
        <v>23</v>
      </c>
      <c r="D13" t="s">
        <v>21</v>
      </c>
      <c r="E13" s="4" t="s">
        <v>41</v>
      </c>
    </row>
    <row r="14" spans="1:5" x14ac:dyDescent="0.25">
      <c r="A14" t="s">
        <v>18</v>
      </c>
      <c r="B14" s="3">
        <v>1040</v>
      </c>
      <c r="C14" t="s">
        <v>23</v>
      </c>
      <c r="D14" t="s">
        <v>22</v>
      </c>
      <c r="E14" s="4" t="s">
        <v>41</v>
      </c>
    </row>
    <row r="15" spans="1:5" x14ac:dyDescent="0.25">
      <c r="A15" t="s">
        <v>24</v>
      </c>
      <c r="B15" s="3">
        <f>1/386</f>
        <v>2.5906735751295338E-3</v>
      </c>
      <c r="C15" t="s">
        <v>25</v>
      </c>
      <c r="D15" t="s">
        <v>26</v>
      </c>
      <c r="E15" s="4" t="s">
        <v>42</v>
      </c>
    </row>
    <row r="16" spans="1:5" x14ac:dyDescent="0.25">
      <c r="A16" t="s">
        <v>27</v>
      </c>
      <c r="B16" s="3">
        <v>44</v>
      </c>
      <c r="C16" t="s">
        <v>28</v>
      </c>
      <c r="D16" t="s">
        <v>29</v>
      </c>
      <c r="E16" s="4"/>
    </row>
    <row r="17" spans="1:5" x14ac:dyDescent="0.25">
      <c r="A17" t="s">
        <v>30</v>
      </c>
      <c r="B17" s="3">
        <v>3.4119999999999999</v>
      </c>
      <c r="C17" t="s">
        <v>31</v>
      </c>
      <c r="D17" t="s">
        <v>32</v>
      </c>
      <c r="E17" s="4"/>
    </row>
    <row r="18" spans="1:5" x14ac:dyDescent="0.25">
      <c r="A18" t="s">
        <v>33</v>
      </c>
      <c r="B18" s="9">
        <v>0.93600000000000005</v>
      </c>
      <c r="D18" t="s">
        <v>36</v>
      </c>
      <c r="E18" s="4" t="s">
        <v>132</v>
      </c>
    </row>
    <row r="19" spans="1:5" x14ac:dyDescent="0.25">
      <c r="A19" t="s">
        <v>34</v>
      </c>
      <c r="B19" s="9">
        <v>0.93520000000000003</v>
      </c>
      <c r="D19" t="s">
        <v>37</v>
      </c>
      <c r="E19" s="4" t="s">
        <v>132</v>
      </c>
    </row>
    <row r="20" spans="1:5" x14ac:dyDescent="0.25">
      <c r="A20" t="s">
        <v>35</v>
      </c>
      <c r="B20" s="9">
        <v>0.9728</v>
      </c>
      <c r="D20" t="s">
        <v>38</v>
      </c>
      <c r="E20" s="4" t="s">
        <v>132</v>
      </c>
    </row>
    <row r="21" spans="1:5" x14ac:dyDescent="0.25">
      <c r="A21" t="s">
        <v>43</v>
      </c>
      <c r="B21" s="3">
        <v>10.106999999999999</v>
      </c>
      <c r="C21" t="s">
        <v>39</v>
      </c>
      <c r="D21" t="s">
        <v>46</v>
      </c>
      <c r="E21" s="4" t="s">
        <v>40</v>
      </c>
    </row>
    <row r="22" spans="1:5" x14ac:dyDescent="0.25">
      <c r="A22" t="s">
        <v>44</v>
      </c>
      <c r="B22" s="3">
        <v>10.359</v>
      </c>
      <c r="C22" t="s">
        <v>39</v>
      </c>
      <c r="D22" t="s">
        <v>47</v>
      </c>
      <c r="E22" s="4" t="s">
        <v>40</v>
      </c>
    </row>
    <row r="23" spans="1:5" x14ac:dyDescent="0.25">
      <c r="A23" t="s">
        <v>45</v>
      </c>
      <c r="B23" s="3">
        <v>7.6150000000000002</v>
      </c>
      <c r="C23" t="s">
        <v>39</v>
      </c>
      <c r="D23" t="s">
        <v>48</v>
      </c>
      <c r="E23" s="4" t="s">
        <v>40</v>
      </c>
    </row>
    <row r="24" spans="1:5" x14ac:dyDescent="0.25">
      <c r="A24" t="s">
        <v>129</v>
      </c>
      <c r="B24" s="3">
        <v>1.1265000000000001E-2</v>
      </c>
      <c r="C24" t="s">
        <v>130</v>
      </c>
      <c r="D24" t="s">
        <v>131</v>
      </c>
      <c r="E24" s="4" t="s">
        <v>318</v>
      </c>
    </row>
    <row r="25" spans="1:5" x14ac:dyDescent="0.25">
      <c r="A25" t="s">
        <v>126</v>
      </c>
      <c r="B25" s="3">
        <v>2205</v>
      </c>
      <c r="C25" t="s">
        <v>127</v>
      </c>
      <c r="D25" t="s">
        <v>128</v>
      </c>
      <c r="E25" s="4"/>
    </row>
    <row r="26" spans="1:5" x14ac:dyDescent="0.25">
      <c r="A26" t="s">
        <v>220</v>
      </c>
      <c r="B26" s="46">
        <v>0.7</v>
      </c>
      <c r="D26" t="s">
        <v>222</v>
      </c>
      <c r="E26" s="4"/>
    </row>
    <row r="27" spans="1:5" x14ac:dyDescent="0.25">
      <c r="A27" t="s">
        <v>221</v>
      </c>
      <c r="B27" s="46">
        <v>0.65</v>
      </c>
      <c r="D27" t="s">
        <v>223</v>
      </c>
      <c r="E27" s="4"/>
    </row>
    <row r="28" spans="1:5" x14ac:dyDescent="0.25">
      <c r="A28" t="s">
        <v>224</v>
      </c>
      <c r="B28" s="3">
        <v>18150330</v>
      </c>
      <c r="C28" t="s">
        <v>229</v>
      </c>
      <c r="D28" t="s">
        <v>230</v>
      </c>
      <c r="E28" s="4" t="s">
        <v>234</v>
      </c>
    </row>
    <row r="29" spans="1:5" x14ac:dyDescent="0.25">
      <c r="A29" t="s">
        <v>225</v>
      </c>
      <c r="B29" s="3">
        <v>1563475</v>
      </c>
      <c r="C29" t="s">
        <v>229</v>
      </c>
      <c r="D29" t="s">
        <v>231</v>
      </c>
      <c r="E29" s="4" t="s">
        <v>234</v>
      </c>
    </row>
    <row r="30" spans="1:5" x14ac:dyDescent="0.25">
      <c r="A30" t="s">
        <v>226</v>
      </c>
      <c r="B30" s="3">
        <v>676014</v>
      </c>
      <c r="C30" t="s">
        <v>229</v>
      </c>
      <c r="D30" t="s">
        <v>232</v>
      </c>
      <c r="E30" s="4" t="s">
        <v>238</v>
      </c>
    </row>
    <row r="31" spans="1:5" x14ac:dyDescent="0.25">
      <c r="A31" t="s">
        <v>227</v>
      </c>
      <c r="B31" s="3">
        <v>470000</v>
      </c>
      <c r="C31" t="s">
        <v>229</v>
      </c>
      <c r="D31" t="s">
        <v>233</v>
      </c>
      <c r="E31" s="4"/>
    </row>
    <row r="32" spans="1:5" x14ac:dyDescent="0.25">
      <c r="A32" t="s">
        <v>228</v>
      </c>
      <c r="B32" s="3">
        <v>48000</v>
      </c>
      <c r="C32" t="s">
        <v>229</v>
      </c>
      <c r="D32" t="s">
        <v>237</v>
      </c>
      <c r="E32" s="4"/>
    </row>
    <row r="33" spans="1:6" x14ac:dyDescent="0.25">
      <c r="A33" t="s">
        <v>235</v>
      </c>
      <c r="B33" s="47">
        <v>7.51E-2</v>
      </c>
      <c r="D33" t="s">
        <v>236</v>
      </c>
      <c r="E33" s="4"/>
    </row>
    <row r="35" spans="1:6" ht="18" thickBot="1" x14ac:dyDescent="0.35">
      <c r="A35" s="2" t="s">
        <v>4</v>
      </c>
      <c r="B35" s="2"/>
      <c r="C35" s="2"/>
      <c r="D35" s="2"/>
      <c r="E35" s="2"/>
    </row>
    <row r="36" spans="1:6" ht="15.75" thickTop="1" x14ac:dyDescent="0.25">
      <c r="A36" s="5" t="s">
        <v>5</v>
      </c>
      <c r="B36" s="5" t="s">
        <v>0</v>
      </c>
      <c r="C36" s="5"/>
      <c r="D36" s="5"/>
      <c r="E36" s="5"/>
    </row>
    <row r="37" spans="1:6" x14ac:dyDescent="0.25">
      <c r="A37" t="s">
        <v>322</v>
      </c>
      <c r="B37" s="67" t="s">
        <v>323</v>
      </c>
      <c r="C37" s="67"/>
      <c r="D37" s="67"/>
      <c r="E37" s="67"/>
    </row>
    <row r="38" spans="1:6" x14ac:dyDescent="0.25">
      <c r="A38" t="s">
        <v>324</v>
      </c>
      <c r="B38" s="68" t="s">
        <v>326</v>
      </c>
      <c r="C38" s="68"/>
      <c r="D38" s="68"/>
      <c r="E38" s="68"/>
    </row>
    <row r="39" spans="1:6" x14ac:dyDescent="0.25">
      <c r="A39" t="s">
        <v>325</v>
      </c>
      <c r="B39" s="68" t="s">
        <v>327</v>
      </c>
      <c r="C39" s="68"/>
      <c r="D39" s="68"/>
      <c r="E39" s="68"/>
    </row>
    <row r="40" spans="1:6" x14ac:dyDescent="0.25">
      <c r="A40" t="s">
        <v>329</v>
      </c>
      <c r="B40" s="68" t="s">
        <v>328</v>
      </c>
      <c r="C40" s="68"/>
      <c r="D40" s="68"/>
      <c r="E40" s="68"/>
    </row>
    <row r="41" spans="1:6" x14ac:dyDescent="0.25">
      <c r="A41" t="s">
        <v>330</v>
      </c>
      <c r="B41" s="6" t="s">
        <v>184</v>
      </c>
      <c r="C41" s="6"/>
      <c r="D41" s="6"/>
      <c r="E41" s="6"/>
    </row>
    <row r="42" spans="1:6" x14ac:dyDescent="0.25">
      <c r="A42" t="s">
        <v>331</v>
      </c>
      <c r="B42" s="96" t="s">
        <v>332</v>
      </c>
      <c r="C42" s="96"/>
      <c r="D42" s="97"/>
      <c r="E42" s="97"/>
    </row>
    <row r="43" spans="1:6" x14ac:dyDescent="0.25">
      <c r="A43" t="s">
        <v>333</v>
      </c>
      <c r="B43" s="98" t="s">
        <v>335</v>
      </c>
      <c r="C43" s="98"/>
      <c r="D43" s="98"/>
      <c r="E43" s="98"/>
    </row>
    <row r="44" spans="1:6" x14ac:dyDescent="0.25">
      <c r="A44" t="s">
        <v>334</v>
      </c>
      <c r="B44" s="66" t="s">
        <v>336</v>
      </c>
      <c r="C44" s="66"/>
    </row>
    <row r="45" spans="1:6" x14ac:dyDescent="0.25">
      <c r="B45" s="8"/>
      <c r="C45" s="8"/>
    </row>
    <row r="46" spans="1:6" ht="18" thickBot="1" x14ac:dyDescent="0.35">
      <c r="A46" s="2" t="s">
        <v>243</v>
      </c>
      <c r="B46" s="2"/>
      <c r="C46" s="2"/>
      <c r="D46" s="2"/>
      <c r="E46" s="2"/>
    </row>
    <row r="47" spans="1:6" ht="15.75" thickTop="1" x14ac:dyDescent="0.25">
      <c r="A47" s="44" t="s">
        <v>244</v>
      </c>
      <c r="E47" s="7"/>
      <c r="F47" s="7"/>
    </row>
    <row r="48" spans="1:6" x14ac:dyDescent="0.25">
      <c r="A48" s="44" t="s">
        <v>246</v>
      </c>
      <c r="E48" s="7"/>
      <c r="F48" s="7"/>
    </row>
    <row r="49" spans="1:6" x14ac:dyDescent="0.25">
      <c r="A49" s="44" t="s">
        <v>245</v>
      </c>
      <c r="F49" s="7"/>
    </row>
    <row r="50" spans="1:6" x14ac:dyDescent="0.25">
      <c r="A50" s="44" t="s">
        <v>247</v>
      </c>
      <c r="F50" s="7"/>
    </row>
  </sheetData>
  <mergeCells count="5">
    <mergeCell ref="B37:E37"/>
    <mergeCell ref="B38:E38"/>
    <mergeCell ref="B39:E39"/>
    <mergeCell ref="B40:E40"/>
    <mergeCell ref="B43:E43"/>
  </mergeCells>
  <hyperlinks>
    <hyperlink ref="A49" r:id="rId1"/>
    <hyperlink ref="A48" r:id="rId2"/>
    <hyperlink ref="A47" r:id="rId3" location="!documentDetail;D=EPA-HQ-OAR-2013-0602-0254"/>
    <hyperlink ref="A50" r:id="rId4" display="C. Guam Power Authority Integrated Resource Plan - http://guampowerauthority.com/gpa_authority/strategicplanning/documents/2013IRPReportFINAL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6"/>
  <sheetViews>
    <sheetView workbookViewId="0"/>
  </sheetViews>
  <sheetFormatPr defaultRowHeight="11.25" x14ac:dyDescent="0.2"/>
  <cols>
    <col min="1" max="2" width="9.140625" style="7"/>
    <col min="3" max="4" width="6.140625" style="7" bestFit="1" customWidth="1"/>
    <col min="5" max="5" width="7.5703125" style="7" customWidth="1"/>
    <col min="6" max="6" width="8.28515625" style="7" customWidth="1"/>
    <col min="7" max="7" width="10.140625" style="7" customWidth="1"/>
    <col min="8" max="8" width="9.28515625" style="7" bestFit="1" customWidth="1"/>
    <col min="9" max="9" width="8.5703125" style="7" customWidth="1"/>
    <col min="10" max="16384" width="9.140625" style="7"/>
  </cols>
  <sheetData>
    <row r="1" spans="1:10" ht="33.75" x14ac:dyDescent="0.2">
      <c r="A1" s="39" t="s">
        <v>121</v>
      </c>
      <c r="B1" s="39" t="s">
        <v>122</v>
      </c>
      <c r="C1" s="39" t="s">
        <v>49</v>
      </c>
      <c r="D1" s="39" t="s">
        <v>51</v>
      </c>
      <c r="E1" s="39" t="s">
        <v>123</v>
      </c>
      <c r="F1" s="39" t="s">
        <v>52</v>
      </c>
      <c r="G1" s="39" t="s">
        <v>185</v>
      </c>
      <c r="H1" s="39" t="s">
        <v>50</v>
      </c>
      <c r="I1" s="39" t="s">
        <v>124</v>
      </c>
      <c r="J1" s="39" t="s">
        <v>3</v>
      </c>
    </row>
    <row r="2" spans="1:10" x14ac:dyDescent="0.2">
      <c r="A2" s="13" t="s">
        <v>54</v>
      </c>
      <c r="B2" s="7" t="s">
        <v>186</v>
      </c>
      <c r="C2" s="7" t="s">
        <v>55</v>
      </c>
      <c r="D2" s="7" t="s">
        <v>60</v>
      </c>
      <c r="E2" s="13" t="s">
        <v>61</v>
      </c>
      <c r="F2" s="13">
        <v>66</v>
      </c>
      <c r="G2" s="13">
        <v>22397241</v>
      </c>
      <c r="H2" s="12">
        <f>tGuamEGUs[[#This Row],[Fuel consumption (gallons)]]*cGallon2CO2</f>
        <v>252304.919865</v>
      </c>
      <c r="I2" s="43">
        <v>304141.05800000002</v>
      </c>
      <c r="J2" s="38"/>
    </row>
    <row r="3" spans="1:10" x14ac:dyDescent="0.2">
      <c r="A3" s="13" t="s">
        <v>54</v>
      </c>
      <c r="B3" s="7" t="s">
        <v>186</v>
      </c>
      <c r="C3" s="7" t="s">
        <v>57</v>
      </c>
      <c r="D3" s="7" t="s">
        <v>60</v>
      </c>
      <c r="E3" s="13" t="s">
        <v>61</v>
      </c>
      <c r="F3" s="13">
        <v>66</v>
      </c>
      <c r="G3" s="13">
        <v>22520088</v>
      </c>
      <c r="H3" s="12">
        <f>tGuamEGUs[[#This Row],[Fuel consumption (gallons)]]*cGallon2CO2</f>
        <v>253688.79132000002</v>
      </c>
      <c r="I3" s="43">
        <v>296893.57900000003</v>
      </c>
      <c r="J3" s="38"/>
    </row>
    <row r="4" spans="1:10" x14ac:dyDescent="0.2">
      <c r="A4" s="13" t="s">
        <v>54</v>
      </c>
      <c r="B4" s="7" t="s">
        <v>187</v>
      </c>
      <c r="C4" s="7" t="s">
        <v>55</v>
      </c>
      <c r="D4" s="7" t="s">
        <v>60</v>
      </c>
      <c r="E4" s="13" t="s">
        <v>61</v>
      </c>
      <c r="F4" s="13">
        <v>26.5</v>
      </c>
      <c r="G4" s="13">
        <v>4717193.91</v>
      </c>
      <c r="H4" s="12">
        <f>tGuamEGUs[[#This Row],[Fuel consumption (gallons)]]*cGallon2CO2</f>
        <v>53139.189396150003</v>
      </c>
      <c r="I4" s="43">
        <v>47950.64</v>
      </c>
      <c r="J4" s="38"/>
    </row>
    <row r="5" spans="1:10" x14ac:dyDescent="0.2">
      <c r="A5" s="13" t="s">
        <v>54</v>
      </c>
      <c r="B5" s="7" t="s">
        <v>187</v>
      </c>
      <c r="C5" s="7" t="s">
        <v>57</v>
      </c>
      <c r="D5" s="7" t="s">
        <v>60</v>
      </c>
      <c r="E5" s="13" t="s">
        <v>61</v>
      </c>
      <c r="F5" s="13">
        <v>26.5</v>
      </c>
      <c r="G5" s="13">
        <v>6284021.25</v>
      </c>
      <c r="H5" s="12">
        <f>tGuamEGUs[[#This Row],[Fuel consumption (gallons)]]*cGallon2CO2</f>
        <v>70789.499381250003</v>
      </c>
      <c r="I5" s="43">
        <v>64090.209600000002</v>
      </c>
      <c r="J5" s="38"/>
    </row>
    <row r="6" spans="1:10" x14ac:dyDescent="0.2">
      <c r="A6" s="13" t="s">
        <v>63</v>
      </c>
      <c r="B6" s="7" t="s">
        <v>188</v>
      </c>
      <c r="C6" s="13" t="s">
        <v>189</v>
      </c>
      <c r="D6" s="7" t="s">
        <v>65</v>
      </c>
      <c r="E6" s="13" t="s">
        <v>66</v>
      </c>
      <c r="F6" s="13">
        <v>39</v>
      </c>
      <c r="G6" s="13"/>
      <c r="H6" s="12">
        <f>tGuamEGUs[[#This Row],[Fuel consumption (gallons)]]*cGallon2CO2</f>
        <v>0</v>
      </c>
      <c r="I6" s="43"/>
      <c r="J6" s="3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48"/>
  <sheetViews>
    <sheetView workbookViewId="0"/>
  </sheetViews>
  <sheetFormatPr defaultRowHeight="11.25" x14ac:dyDescent="0.2"/>
  <cols>
    <col min="1" max="1" width="8.85546875" style="7" customWidth="1"/>
    <col min="2" max="2" width="23.140625" style="7" bestFit="1" customWidth="1"/>
    <col min="3" max="3" width="7.28515625" style="7" customWidth="1"/>
    <col min="4" max="4" width="7" style="7" bestFit="1" customWidth="1"/>
    <col min="5" max="5" width="7.5703125" style="7" bestFit="1" customWidth="1"/>
    <col min="6" max="6" width="8.85546875" style="7" bestFit="1" customWidth="1"/>
    <col min="7" max="7" width="9.28515625" style="7" bestFit="1" customWidth="1"/>
    <col min="8" max="8" width="10.85546875" style="7" customWidth="1"/>
    <col min="9" max="9" width="20.140625" style="7" customWidth="1"/>
    <col min="10" max="16384" width="9.140625" style="7"/>
  </cols>
  <sheetData>
    <row r="1" spans="1:9" s="10" customFormat="1" ht="33.75" x14ac:dyDescent="0.2">
      <c r="A1" s="10" t="s">
        <v>121</v>
      </c>
      <c r="B1" s="10" t="s">
        <v>122</v>
      </c>
      <c r="C1" s="10" t="s">
        <v>49</v>
      </c>
      <c r="D1" s="10" t="s">
        <v>51</v>
      </c>
      <c r="E1" s="10" t="s">
        <v>123</v>
      </c>
      <c r="F1" s="10" t="s">
        <v>52</v>
      </c>
      <c r="G1" s="10" t="s">
        <v>50</v>
      </c>
      <c r="H1" s="10" t="s">
        <v>124</v>
      </c>
      <c r="I1" s="10" t="s">
        <v>3</v>
      </c>
    </row>
    <row r="2" spans="1:9" x14ac:dyDescent="0.2">
      <c r="A2" s="7" t="s">
        <v>54</v>
      </c>
      <c r="B2" s="7" t="s">
        <v>53</v>
      </c>
      <c r="C2" s="7" t="s">
        <v>55</v>
      </c>
      <c r="D2" s="7" t="s">
        <v>125</v>
      </c>
      <c r="E2" s="7" t="s">
        <v>56</v>
      </c>
      <c r="F2" s="7">
        <v>227</v>
      </c>
      <c r="G2" s="7">
        <v>1623381</v>
      </c>
      <c r="H2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1615640.6016433255</v>
      </c>
      <c r="I2" s="11"/>
    </row>
    <row r="3" spans="1:9" x14ac:dyDescent="0.2">
      <c r="A3" s="7" t="s">
        <v>54</v>
      </c>
      <c r="B3" s="7" t="s">
        <v>53</v>
      </c>
      <c r="C3" s="7" t="s">
        <v>57</v>
      </c>
      <c r="D3" s="7" t="s">
        <v>125</v>
      </c>
      <c r="E3" s="7" t="s">
        <v>56</v>
      </c>
      <c r="F3" s="7">
        <v>227</v>
      </c>
      <c r="G3" s="7">
        <v>1810311</v>
      </c>
      <c r="H3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1801679.305844734</v>
      </c>
      <c r="I3" s="11"/>
    </row>
    <row r="4" spans="1:9" x14ac:dyDescent="0.2">
      <c r="A4" s="7" t="s">
        <v>54</v>
      </c>
      <c r="B4" s="7" t="s">
        <v>58</v>
      </c>
      <c r="C4" s="7" t="s">
        <v>59</v>
      </c>
      <c r="D4" s="7" t="s">
        <v>60</v>
      </c>
      <c r="E4" s="7" t="s">
        <v>61</v>
      </c>
      <c r="F4" s="7">
        <v>450</v>
      </c>
      <c r="G4" s="7">
        <v>1414296</v>
      </c>
      <c r="H4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1739329.4714464175</v>
      </c>
      <c r="I4" s="11"/>
    </row>
    <row r="5" spans="1:9" x14ac:dyDescent="0.2">
      <c r="A5" s="7" t="s">
        <v>54</v>
      </c>
      <c r="B5" s="7" t="s">
        <v>58</v>
      </c>
      <c r="C5" s="7" t="s">
        <v>62</v>
      </c>
      <c r="D5" s="7" t="s">
        <v>60</v>
      </c>
      <c r="E5" s="7" t="s">
        <v>61</v>
      </c>
      <c r="F5" s="7">
        <v>450</v>
      </c>
      <c r="G5" s="7">
        <v>1675722</v>
      </c>
      <c r="H5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2060836.388246261</v>
      </c>
      <c r="I5" s="11"/>
    </row>
    <row r="6" spans="1:9" x14ac:dyDescent="0.2">
      <c r="A6" s="7" t="s">
        <v>63</v>
      </c>
      <c r="B6" s="7" t="s">
        <v>58</v>
      </c>
      <c r="C6" s="7" t="s">
        <v>64</v>
      </c>
      <c r="D6" s="7" t="s">
        <v>65</v>
      </c>
      <c r="E6" s="7" t="s">
        <v>66</v>
      </c>
      <c r="F6" s="7">
        <v>30</v>
      </c>
      <c r="G6" s="7">
        <v>238</v>
      </c>
      <c r="H6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292.69715406410501</v>
      </c>
      <c r="I6" s="11"/>
    </row>
    <row r="7" spans="1:9" x14ac:dyDescent="0.2">
      <c r="A7" s="7" t="s">
        <v>63</v>
      </c>
      <c r="B7" s="7" t="s">
        <v>58</v>
      </c>
      <c r="C7" s="7" t="s">
        <v>67</v>
      </c>
      <c r="D7" s="7" t="s">
        <v>65</v>
      </c>
      <c r="E7" s="7" t="s">
        <v>66</v>
      </c>
      <c r="F7" s="7">
        <v>30</v>
      </c>
      <c r="G7" s="7">
        <v>0</v>
      </c>
      <c r="H7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0</v>
      </c>
      <c r="I7" s="11"/>
    </row>
    <row r="8" spans="1:9" x14ac:dyDescent="0.2">
      <c r="A8" s="7" t="s">
        <v>63</v>
      </c>
      <c r="B8" s="7" t="s">
        <v>58</v>
      </c>
      <c r="C8" s="7" t="s">
        <v>68</v>
      </c>
      <c r="D8" s="7" t="s">
        <v>65</v>
      </c>
      <c r="E8" s="7" t="s">
        <v>69</v>
      </c>
      <c r="F8" s="7">
        <v>296</v>
      </c>
      <c r="G8" s="7">
        <v>105211</v>
      </c>
      <c r="H8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129390.5893959603</v>
      </c>
      <c r="I8" s="11"/>
    </row>
    <row r="9" spans="1:9" x14ac:dyDescent="0.2">
      <c r="A9" s="7" t="s">
        <v>63</v>
      </c>
      <c r="B9" s="7" t="s">
        <v>58</v>
      </c>
      <c r="C9" s="7" t="s">
        <v>70</v>
      </c>
      <c r="D9" s="7" t="s">
        <v>65</v>
      </c>
      <c r="E9" s="7" t="s">
        <v>69</v>
      </c>
      <c r="F9" s="7">
        <v>296</v>
      </c>
      <c r="G9" s="7">
        <v>125182</v>
      </c>
      <c r="H9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153951.32411786888</v>
      </c>
      <c r="I9" s="11"/>
    </row>
    <row r="10" spans="1:9" x14ac:dyDescent="0.2">
      <c r="A10" s="7" t="s">
        <v>63</v>
      </c>
      <c r="B10" s="7" t="s">
        <v>71</v>
      </c>
      <c r="C10" s="7" t="s">
        <v>72</v>
      </c>
      <c r="D10" s="7" t="s">
        <v>65</v>
      </c>
      <c r="E10" s="7" t="s">
        <v>66</v>
      </c>
      <c r="F10" s="7">
        <v>83</v>
      </c>
      <c r="G10" s="7">
        <v>0</v>
      </c>
      <c r="H10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0</v>
      </c>
      <c r="I10" s="11"/>
    </row>
    <row r="11" spans="1:9" x14ac:dyDescent="0.2">
      <c r="A11" s="7" t="s">
        <v>63</v>
      </c>
      <c r="B11" s="7" t="s">
        <v>71</v>
      </c>
      <c r="C11" s="7" t="s">
        <v>73</v>
      </c>
      <c r="D11" s="7" t="s">
        <v>65</v>
      </c>
      <c r="E11" s="7" t="s">
        <v>66</v>
      </c>
      <c r="F11" s="7">
        <v>83</v>
      </c>
      <c r="G11" s="7">
        <v>27810</v>
      </c>
      <c r="H11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34201.293506398149</v>
      </c>
      <c r="I11" s="11"/>
    </row>
    <row r="12" spans="1:9" x14ac:dyDescent="0.2">
      <c r="A12" s="7" t="s">
        <v>63</v>
      </c>
      <c r="B12" s="7" t="s">
        <v>71</v>
      </c>
      <c r="C12" s="7" t="s">
        <v>74</v>
      </c>
      <c r="D12" s="7" t="s">
        <v>65</v>
      </c>
      <c r="E12" s="7" t="s">
        <v>66</v>
      </c>
      <c r="F12" s="7">
        <v>83</v>
      </c>
      <c r="G12" s="7">
        <v>18937</v>
      </c>
      <c r="H12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23289.100867697296</v>
      </c>
      <c r="I12" s="11"/>
    </row>
    <row r="13" spans="1:9" x14ac:dyDescent="0.2">
      <c r="A13" s="7" t="s">
        <v>63</v>
      </c>
      <c r="B13" s="7" t="s">
        <v>75</v>
      </c>
      <c r="C13" s="7" t="s">
        <v>76</v>
      </c>
      <c r="D13" s="7" t="s">
        <v>65</v>
      </c>
      <c r="E13" s="7" t="s">
        <v>66</v>
      </c>
      <c r="F13" s="7">
        <v>30</v>
      </c>
      <c r="G13" s="7">
        <v>241</v>
      </c>
      <c r="H13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296.38661398928281</v>
      </c>
      <c r="I13" s="11"/>
    </row>
    <row r="14" spans="1:9" x14ac:dyDescent="0.2">
      <c r="A14" s="7" t="s">
        <v>63</v>
      </c>
      <c r="B14" s="7" t="s">
        <v>75</v>
      </c>
      <c r="C14" s="7" t="s">
        <v>77</v>
      </c>
      <c r="D14" s="7" t="s">
        <v>65</v>
      </c>
      <c r="E14" s="7" t="s">
        <v>66</v>
      </c>
      <c r="F14" s="7">
        <v>30</v>
      </c>
      <c r="G14" s="7">
        <v>0</v>
      </c>
      <c r="H14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0</v>
      </c>
      <c r="I14" s="11"/>
    </row>
    <row r="15" spans="1:9" x14ac:dyDescent="0.2">
      <c r="A15" s="7" t="s">
        <v>54</v>
      </c>
      <c r="B15" s="7" t="s">
        <v>78</v>
      </c>
      <c r="C15" s="7" t="s">
        <v>79</v>
      </c>
      <c r="D15" s="7" t="s">
        <v>80</v>
      </c>
      <c r="E15" s="7" t="s">
        <v>69</v>
      </c>
      <c r="F15" s="7">
        <v>540</v>
      </c>
      <c r="G15" s="7">
        <v>788617</v>
      </c>
      <c r="H15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1873827.7737795757</v>
      </c>
      <c r="I15" s="11"/>
    </row>
    <row r="16" spans="1:9" x14ac:dyDescent="0.2">
      <c r="A16" s="7" t="s">
        <v>54</v>
      </c>
      <c r="B16" s="7" t="s">
        <v>78</v>
      </c>
      <c r="C16" s="7" t="s">
        <v>81</v>
      </c>
      <c r="D16" s="7" t="s">
        <v>80</v>
      </c>
      <c r="E16" s="7" t="s">
        <v>69</v>
      </c>
      <c r="F16" s="7">
        <v>540</v>
      </c>
      <c r="G16" s="7">
        <v>811822</v>
      </c>
      <c r="H16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1928965.0248032729</v>
      </c>
      <c r="I16" s="11"/>
    </row>
    <row r="17" spans="1:9" x14ac:dyDescent="0.2">
      <c r="A17" s="7" t="s">
        <v>63</v>
      </c>
      <c r="B17" s="7" t="s">
        <v>82</v>
      </c>
      <c r="C17" s="7" t="s">
        <v>83</v>
      </c>
      <c r="D17" s="7" t="s">
        <v>65</v>
      </c>
      <c r="E17" s="7" t="s">
        <v>66</v>
      </c>
      <c r="F17" s="7">
        <v>227</v>
      </c>
      <c r="G17" s="7">
        <v>0</v>
      </c>
      <c r="H17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0</v>
      </c>
      <c r="I17" s="11"/>
    </row>
    <row r="18" spans="1:9" x14ac:dyDescent="0.2">
      <c r="A18" s="7" t="s">
        <v>63</v>
      </c>
      <c r="B18" s="7" t="s">
        <v>82</v>
      </c>
      <c r="C18" s="7" t="s">
        <v>84</v>
      </c>
      <c r="D18" s="7" t="s">
        <v>65</v>
      </c>
      <c r="E18" s="7" t="s">
        <v>66</v>
      </c>
      <c r="F18" s="7">
        <v>227</v>
      </c>
      <c r="G18" s="7">
        <v>0</v>
      </c>
      <c r="H18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0</v>
      </c>
      <c r="I18" s="11"/>
    </row>
    <row r="19" spans="1:9" x14ac:dyDescent="0.2">
      <c r="A19" s="7" t="s">
        <v>63</v>
      </c>
      <c r="B19" s="7" t="s">
        <v>85</v>
      </c>
      <c r="C19" s="7" t="s">
        <v>86</v>
      </c>
      <c r="D19" s="7" t="s">
        <v>65</v>
      </c>
      <c r="E19" s="7" t="s">
        <v>66</v>
      </c>
      <c r="F19" s="7">
        <v>27.5</v>
      </c>
      <c r="G19" s="7">
        <v>882</v>
      </c>
      <c r="H19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1084.7012180022714</v>
      </c>
      <c r="I19" s="11"/>
    </row>
    <row r="20" spans="1:9" x14ac:dyDescent="0.2">
      <c r="A20" s="7" t="s">
        <v>63</v>
      </c>
      <c r="B20" s="7" t="s">
        <v>85</v>
      </c>
      <c r="C20" s="7" t="s">
        <v>87</v>
      </c>
      <c r="D20" s="7" t="s">
        <v>65</v>
      </c>
      <c r="E20" s="7" t="s">
        <v>66</v>
      </c>
      <c r="F20" s="7">
        <v>27.5</v>
      </c>
      <c r="G20" s="7">
        <v>6247</v>
      </c>
      <c r="H20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7682.685384195227</v>
      </c>
      <c r="I20" s="11"/>
    </row>
    <row r="21" spans="1:9" x14ac:dyDescent="0.2">
      <c r="A21" s="7" t="s">
        <v>63</v>
      </c>
      <c r="B21" s="7" t="s">
        <v>85</v>
      </c>
      <c r="C21" s="7" t="s">
        <v>88</v>
      </c>
      <c r="D21" s="7" t="s">
        <v>65</v>
      </c>
      <c r="E21" s="7" t="s">
        <v>66</v>
      </c>
      <c r="F21" s="7">
        <v>27.5</v>
      </c>
      <c r="G21" s="7">
        <v>8214</v>
      </c>
      <c r="H21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10101.741275136799</v>
      </c>
      <c r="I21" s="11"/>
    </row>
    <row r="22" spans="1:9" x14ac:dyDescent="0.2">
      <c r="A22" s="7" t="s">
        <v>63</v>
      </c>
      <c r="B22" s="7" t="s">
        <v>85</v>
      </c>
      <c r="C22" s="7" t="s">
        <v>89</v>
      </c>
      <c r="D22" s="7" t="s">
        <v>65</v>
      </c>
      <c r="E22" s="7" t="s">
        <v>66</v>
      </c>
      <c r="F22" s="7">
        <v>27.5</v>
      </c>
      <c r="G22" s="7">
        <v>4067</v>
      </c>
      <c r="H22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5001.6778385660291</v>
      </c>
      <c r="I22" s="11"/>
    </row>
    <row r="23" spans="1:9" x14ac:dyDescent="0.2">
      <c r="A23" s="7" t="s">
        <v>54</v>
      </c>
      <c r="B23" s="7" t="s">
        <v>90</v>
      </c>
      <c r="C23" s="7" t="s">
        <v>91</v>
      </c>
      <c r="D23" s="7" t="s">
        <v>60</v>
      </c>
      <c r="E23" s="7" t="s">
        <v>61</v>
      </c>
      <c r="F23" s="7">
        <v>85</v>
      </c>
      <c r="G23" s="7">
        <v>393896</v>
      </c>
      <c r="H23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484421.16889594414</v>
      </c>
      <c r="I23" s="11"/>
    </row>
    <row r="24" spans="1:9" x14ac:dyDescent="0.2">
      <c r="A24" s="7" t="s">
        <v>54</v>
      </c>
      <c r="B24" s="7" t="s">
        <v>90</v>
      </c>
      <c r="C24" s="7" t="s">
        <v>92</v>
      </c>
      <c r="D24" s="7" t="s">
        <v>60</v>
      </c>
      <c r="E24" s="7" t="s">
        <v>61</v>
      </c>
      <c r="F24" s="7">
        <v>85</v>
      </c>
      <c r="G24" s="7">
        <v>324081</v>
      </c>
      <c r="H24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398561.28733718151</v>
      </c>
      <c r="I24" s="11"/>
    </row>
    <row r="25" spans="1:9" x14ac:dyDescent="0.2">
      <c r="A25" s="7" t="s">
        <v>54</v>
      </c>
      <c r="B25" s="7" t="s">
        <v>90</v>
      </c>
      <c r="C25" s="7" t="s">
        <v>93</v>
      </c>
      <c r="D25" s="7" t="s">
        <v>60</v>
      </c>
      <c r="E25" s="7" t="s">
        <v>61</v>
      </c>
      <c r="F25" s="7">
        <v>216</v>
      </c>
      <c r="G25" s="7">
        <v>846678</v>
      </c>
      <c r="H25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1041261.5168432283</v>
      </c>
      <c r="I25" s="11"/>
    </row>
    <row r="26" spans="1:9" x14ac:dyDescent="0.2">
      <c r="A26" s="7" t="s">
        <v>54</v>
      </c>
      <c r="B26" s="7" t="s">
        <v>90</v>
      </c>
      <c r="C26" s="7" t="s">
        <v>94</v>
      </c>
      <c r="D26" s="7" t="s">
        <v>60</v>
      </c>
      <c r="E26" s="7" t="s">
        <v>61</v>
      </c>
      <c r="F26" s="7">
        <v>216</v>
      </c>
      <c r="G26" s="7">
        <v>883408</v>
      </c>
      <c r="H26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1086432.8045271551</v>
      </c>
      <c r="I26" s="11"/>
    </row>
    <row r="27" spans="1:9" x14ac:dyDescent="0.2">
      <c r="A27" s="7" t="s">
        <v>63</v>
      </c>
      <c r="B27" s="7" t="s">
        <v>90</v>
      </c>
      <c r="C27" s="7" t="s">
        <v>95</v>
      </c>
      <c r="D27" s="7" t="s">
        <v>65</v>
      </c>
      <c r="E27" s="7" t="s">
        <v>66</v>
      </c>
      <c r="F27" s="7">
        <v>30</v>
      </c>
      <c r="G27" s="7">
        <v>1726</v>
      </c>
      <c r="H27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2122.6692769522911</v>
      </c>
      <c r="I27" s="11"/>
    </row>
    <row r="28" spans="1:9" x14ac:dyDescent="0.2">
      <c r="A28" s="7" t="s">
        <v>63</v>
      </c>
      <c r="B28" s="7" t="s">
        <v>90</v>
      </c>
      <c r="C28" s="7" t="s">
        <v>96</v>
      </c>
      <c r="D28" s="7" t="s">
        <v>65</v>
      </c>
      <c r="E28" s="7" t="s">
        <v>66</v>
      </c>
      <c r="F28" s="7">
        <v>30</v>
      </c>
      <c r="G28" s="7">
        <v>1727</v>
      </c>
      <c r="H28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2123.89909692735</v>
      </c>
      <c r="I28" s="11"/>
    </row>
    <row r="29" spans="1:9" x14ac:dyDescent="0.2">
      <c r="A29" s="7" t="s">
        <v>63</v>
      </c>
      <c r="B29" s="7" t="s">
        <v>90</v>
      </c>
      <c r="C29" s="7" t="s">
        <v>97</v>
      </c>
      <c r="D29" s="7" t="s">
        <v>65</v>
      </c>
      <c r="E29" s="7" t="s">
        <v>66</v>
      </c>
      <c r="F29" s="7">
        <v>30</v>
      </c>
      <c r="G29" s="7">
        <v>1779</v>
      </c>
      <c r="H29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2187.849735630432</v>
      </c>
      <c r="I29" s="11"/>
    </row>
    <row r="30" spans="1:9" x14ac:dyDescent="0.2">
      <c r="A30" s="7" t="s">
        <v>63</v>
      </c>
      <c r="B30" s="7" t="s">
        <v>90</v>
      </c>
      <c r="C30" s="7" t="s">
        <v>98</v>
      </c>
      <c r="D30" s="7" t="s">
        <v>65</v>
      </c>
      <c r="E30" s="7" t="s">
        <v>66</v>
      </c>
      <c r="F30" s="7">
        <v>30</v>
      </c>
      <c r="G30" s="7">
        <v>1690</v>
      </c>
      <c r="H30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2078.3957578501572</v>
      </c>
      <c r="I30" s="11"/>
    </row>
    <row r="31" spans="1:9" x14ac:dyDescent="0.2">
      <c r="A31" s="7" t="s">
        <v>63</v>
      </c>
      <c r="B31" s="7" t="s">
        <v>90</v>
      </c>
      <c r="C31" s="7" t="s">
        <v>99</v>
      </c>
      <c r="D31" s="7" t="s">
        <v>65</v>
      </c>
      <c r="E31" s="7" t="s">
        <v>66</v>
      </c>
      <c r="F31" s="7">
        <v>30</v>
      </c>
      <c r="G31" s="7">
        <v>1505</v>
      </c>
      <c r="H31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1850.8790624641936</v>
      </c>
      <c r="I31" s="11"/>
    </row>
    <row r="32" spans="1:9" x14ac:dyDescent="0.2">
      <c r="A32" s="7" t="s">
        <v>63</v>
      </c>
      <c r="B32" s="7" t="s">
        <v>90</v>
      </c>
      <c r="C32" s="7" t="s">
        <v>100</v>
      </c>
      <c r="D32" s="7" t="s">
        <v>65</v>
      </c>
      <c r="E32" s="7" t="s">
        <v>66</v>
      </c>
      <c r="F32" s="7">
        <v>30</v>
      </c>
      <c r="G32" s="7">
        <v>1408</v>
      </c>
      <c r="H32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1731.5865248834448</v>
      </c>
      <c r="I32" s="11"/>
    </row>
    <row r="33" spans="1:9" x14ac:dyDescent="0.2">
      <c r="A33" s="7" t="s">
        <v>54</v>
      </c>
      <c r="B33" s="7" t="s">
        <v>101</v>
      </c>
      <c r="C33" s="7" t="s">
        <v>102</v>
      </c>
      <c r="D33" s="7" t="s">
        <v>60</v>
      </c>
      <c r="E33" s="7" t="s">
        <v>61</v>
      </c>
      <c r="F33" s="7">
        <v>100</v>
      </c>
      <c r="G33" s="7">
        <v>521767</v>
      </c>
      <c r="H33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641679.47892674734</v>
      </c>
      <c r="I33" s="11"/>
    </row>
    <row r="34" spans="1:9" x14ac:dyDescent="0.2">
      <c r="A34" s="7" t="s">
        <v>54</v>
      </c>
      <c r="B34" s="7" t="s">
        <v>101</v>
      </c>
      <c r="C34" s="7" t="s">
        <v>103</v>
      </c>
      <c r="D34" s="7" t="s">
        <v>60</v>
      </c>
      <c r="E34" s="7" t="s">
        <v>61</v>
      </c>
      <c r="F34" s="7">
        <v>100</v>
      </c>
      <c r="G34" s="7">
        <v>458943</v>
      </c>
      <c r="H34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564417.26881362416</v>
      </c>
      <c r="I34" s="11"/>
    </row>
    <row r="35" spans="1:9" x14ac:dyDescent="0.2">
      <c r="A35" s="7" t="s">
        <v>54</v>
      </c>
      <c r="B35" s="7" t="s">
        <v>101</v>
      </c>
      <c r="C35" s="7" t="s">
        <v>104</v>
      </c>
      <c r="D35" s="7" t="s">
        <v>60</v>
      </c>
      <c r="E35" s="7" t="s">
        <v>61</v>
      </c>
      <c r="F35" s="7">
        <v>100</v>
      </c>
      <c r="G35" s="7">
        <v>198840</v>
      </c>
      <c r="H35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244537.40384078422</v>
      </c>
      <c r="I35" s="11"/>
    </row>
    <row r="36" spans="1:9" x14ac:dyDescent="0.2">
      <c r="A36" s="7" t="s">
        <v>54</v>
      </c>
      <c r="B36" s="7" t="s">
        <v>101</v>
      </c>
      <c r="C36" s="7" t="s">
        <v>105</v>
      </c>
      <c r="D36" s="7" t="s">
        <v>60</v>
      </c>
      <c r="E36" s="7" t="s">
        <v>61</v>
      </c>
      <c r="F36" s="7">
        <v>100</v>
      </c>
      <c r="G36" s="7">
        <v>452806</v>
      </c>
      <c r="H36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556869.86362668546</v>
      </c>
      <c r="I36" s="11"/>
    </row>
    <row r="37" spans="1:9" x14ac:dyDescent="0.2">
      <c r="A37" s="7" t="s">
        <v>63</v>
      </c>
      <c r="B37" s="7" t="s">
        <v>101</v>
      </c>
      <c r="C37" s="7" t="s">
        <v>106</v>
      </c>
      <c r="D37" s="7" t="s">
        <v>65</v>
      </c>
      <c r="E37" s="7" t="s">
        <v>69</v>
      </c>
      <c r="F37" s="7">
        <v>232</v>
      </c>
      <c r="G37" s="7">
        <v>584236</v>
      </c>
      <c r="H37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718505.10294872453</v>
      </c>
      <c r="I37" s="11"/>
    </row>
    <row r="38" spans="1:9" x14ac:dyDescent="0.2">
      <c r="A38" s="7" t="s">
        <v>63</v>
      </c>
      <c r="B38" s="7" t="s">
        <v>101</v>
      </c>
      <c r="C38" s="7" t="s">
        <v>107</v>
      </c>
      <c r="D38" s="7" t="s">
        <v>65</v>
      </c>
      <c r="E38" s="7" t="s">
        <v>69</v>
      </c>
      <c r="F38" s="7">
        <v>232</v>
      </c>
      <c r="G38" s="7">
        <v>118492</v>
      </c>
      <c r="H38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145723.82848472238</v>
      </c>
      <c r="I38" s="11"/>
    </row>
    <row r="39" spans="1:9" x14ac:dyDescent="0.2">
      <c r="A39" s="7" t="s">
        <v>54</v>
      </c>
      <c r="B39" s="7" t="s">
        <v>108</v>
      </c>
      <c r="C39" s="7" t="s">
        <v>109</v>
      </c>
      <c r="D39" s="7" t="s">
        <v>60</v>
      </c>
      <c r="E39" s="7" t="s">
        <v>61</v>
      </c>
      <c r="F39" s="7">
        <v>85</v>
      </c>
      <c r="G39" s="7">
        <v>140392</v>
      </c>
      <c r="H39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172656.88593852031</v>
      </c>
      <c r="I39" s="11"/>
    </row>
    <row r="40" spans="1:9" x14ac:dyDescent="0.2">
      <c r="A40" s="7" t="s">
        <v>54</v>
      </c>
      <c r="B40" s="7" t="s">
        <v>108</v>
      </c>
      <c r="C40" s="7" t="s">
        <v>110</v>
      </c>
      <c r="D40" s="7" t="s">
        <v>60</v>
      </c>
      <c r="E40" s="7" t="s">
        <v>61</v>
      </c>
      <c r="F40" s="7">
        <v>85</v>
      </c>
      <c r="G40" s="7">
        <v>134482</v>
      </c>
      <c r="H40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165388.64988592002</v>
      </c>
      <c r="I40" s="11"/>
    </row>
    <row r="41" spans="1:9" x14ac:dyDescent="0.2">
      <c r="A41" s="7" t="s">
        <v>54</v>
      </c>
      <c r="B41" s="7" t="s">
        <v>108</v>
      </c>
      <c r="C41" s="7" t="s">
        <v>111</v>
      </c>
      <c r="D41" s="7" t="s">
        <v>60</v>
      </c>
      <c r="E41" s="7" t="s">
        <v>61</v>
      </c>
      <c r="F41" s="7">
        <v>410</v>
      </c>
      <c r="G41" s="7">
        <v>1565403</v>
      </c>
      <c r="H41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1925163.8784176982</v>
      </c>
      <c r="I41" s="11"/>
    </row>
    <row r="42" spans="1:9" x14ac:dyDescent="0.2">
      <c r="A42" s="7" t="s">
        <v>54</v>
      </c>
      <c r="B42" s="7" t="s">
        <v>108</v>
      </c>
      <c r="C42" s="7" t="s">
        <v>112</v>
      </c>
      <c r="D42" s="7" t="s">
        <v>60</v>
      </c>
      <c r="E42" s="7" t="s">
        <v>61</v>
      </c>
      <c r="F42" s="7">
        <v>410</v>
      </c>
      <c r="G42" s="7">
        <v>1367546</v>
      </c>
      <c r="H42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1681835.3876123975</v>
      </c>
      <c r="I42" s="11"/>
    </row>
    <row r="43" spans="1:9" x14ac:dyDescent="0.2">
      <c r="A43" s="7" t="s">
        <v>63</v>
      </c>
      <c r="B43" s="7" t="s">
        <v>108</v>
      </c>
      <c r="C43" s="7" t="s">
        <v>113</v>
      </c>
      <c r="D43" s="7" t="s">
        <v>65</v>
      </c>
      <c r="E43" s="7" t="s">
        <v>66</v>
      </c>
      <c r="F43" s="7">
        <v>45</v>
      </c>
      <c r="G43" s="7">
        <v>192</v>
      </c>
      <c r="H43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236.12543521137883</v>
      </c>
      <c r="I43" s="11"/>
    </row>
    <row r="44" spans="1:9" x14ac:dyDescent="0.2">
      <c r="A44" s="7" t="s">
        <v>63</v>
      </c>
      <c r="B44" s="7" t="s">
        <v>108</v>
      </c>
      <c r="C44" s="7" t="s">
        <v>114</v>
      </c>
      <c r="D44" s="7" t="s">
        <v>65</v>
      </c>
      <c r="E44" s="7" t="s">
        <v>66</v>
      </c>
      <c r="F44" s="7">
        <v>45</v>
      </c>
      <c r="G44" s="7">
        <v>220</v>
      </c>
      <c r="H44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270.56039451303826</v>
      </c>
      <c r="I44" s="11"/>
    </row>
    <row r="45" spans="1:9" x14ac:dyDescent="0.2">
      <c r="A45" s="7" t="s">
        <v>63</v>
      </c>
      <c r="B45" s="7" t="s">
        <v>115</v>
      </c>
      <c r="C45" s="7" t="s">
        <v>116</v>
      </c>
      <c r="D45" s="7" t="s">
        <v>65</v>
      </c>
      <c r="E45" s="7" t="s">
        <v>66</v>
      </c>
      <c r="F45" s="7">
        <v>30</v>
      </c>
      <c r="G45" s="7">
        <v>330</v>
      </c>
      <c r="H45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405.84059176955736</v>
      </c>
      <c r="I45" s="11"/>
    </row>
    <row r="46" spans="1:9" x14ac:dyDescent="0.2">
      <c r="A46" s="7" t="s">
        <v>63</v>
      </c>
      <c r="B46" s="7" t="s">
        <v>115</v>
      </c>
      <c r="C46" s="7" t="s">
        <v>117</v>
      </c>
      <c r="D46" s="7" t="s">
        <v>65</v>
      </c>
      <c r="E46" s="7" t="s">
        <v>66</v>
      </c>
      <c r="F46" s="7">
        <v>30</v>
      </c>
      <c r="G46" s="7">
        <v>502</v>
      </c>
      <c r="H46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617.36962747975087</v>
      </c>
      <c r="I46" s="11"/>
    </row>
    <row r="47" spans="1:9" x14ac:dyDescent="0.2">
      <c r="A47" s="7" t="s">
        <v>63</v>
      </c>
      <c r="B47" s="7" t="s">
        <v>118</v>
      </c>
      <c r="C47" s="7" t="s">
        <v>119</v>
      </c>
      <c r="D47" s="7" t="s">
        <v>65</v>
      </c>
      <c r="E47" s="7" t="s">
        <v>66</v>
      </c>
      <c r="F47" s="7">
        <v>30</v>
      </c>
      <c r="G47" s="7">
        <v>77</v>
      </c>
      <c r="H47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94.696138079563369</v>
      </c>
      <c r="I47" s="11"/>
    </row>
    <row r="48" spans="1:9" x14ac:dyDescent="0.2">
      <c r="A48" s="7" t="s">
        <v>63</v>
      </c>
      <c r="B48" s="7" t="s">
        <v>118</v>
      </c>
      <c r="C48" s="7" t="s">
        <v>120</v>
      </c>
      <c r="D48" s="7" t="s">
        <v>65</v>
      </c>
      <c r="E48" s="7" t="s">
        <v>66</v>
      </c>
      <c r="F48" s="7">
        <v>30</v>
      </c>
      <c r="G48" s="7">
        <v>152</v>
      </c>
      <c r="H48" s="12">
        <f>tPREGUs[[#This Row],[CO2 (MT)]]*(tPREGUs[[#This Row],[Capacity (MW)]]*cHours*IF(tPREGUs[[#This Row],[Fuel]]="Coal", cN2GCoal, IF(OR(tPREGUs[[#This Row],[Fuel]]="No. 6", tPREGUs[[#This Row],[Fuel]]="No. 2"), cN2GOil, cN2GNGCC)))/((IF(tPREGUs[[#This Row],[Fuel]]="Coal", cFcCoal, IF(OR(tPREGUs[[#This Row],[Fuel]]="No. 6", tPREGUs[[#This Row],[Fuel]]="No. 2"), cFcOil, cFcGas))*cCO2SCFMole*cCO2MW*tPREGUs[[#This Row],[Capacity (MW)]]*(1/(cElecMMBtu/IF(tPREGUs[[#This Row],[Fuel]]="Coal", cHRCoal, IF(OR(tPREGUs[[#This Row],[Fuel]]="No. 6", tPREGUs[[#This Row],[Fuel]]="No. 2"), cHROil, cHRNGCC))))*cHours*cElecMMBtu)/cMT2LB)</f>
        <v>186.93263620900822</v>
      </c>
      <c r="I48" s="1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4"/>
  <sheetViews>
    <sheetView workbookViewId="0"/>
  </sheetViews>
  <sheetFormatPr defaultRowHeight="11.25" x14ac:dyDescent="0.2"/>
  <cols>
    <col min="1" max="1" width="9.140625" style="7"/>
    <col min="2" max="2" width="9" style="7" bestFit="1" customWidth="1"/>
    <col min="3" max="3" width="18.5703125" style="7" bestFit="1" customWidth="1"/>
    <col min="4" max="4" width="6.7109375" style="7" customWidth="1"/>
    <col min="5" max="5" width="8.140625" style="7" customWidth="1"/>
    <col min="6" max="6" width="9.28515625" style="7" customWidth="1"/>
    <col min="7" max="7" width="7" style="7" customWidth="1"/>
    <col min="8" max="8" width="9.140625" style="7"/>
    <col min="9" max="9" width="8.85546875" style="7" bestFit="1" customWidth="1"/>
    <col min="10" max="10" width="9" style="7" customWidth="1"/>
    <col min="11" max="11" width="11.28515625" style="7" customWidth="1"/>
    <col min="12" max="12" width="10.42578125" style="7" bestFit="1" customWidth="1"/>
    <col min="13" max="16384" width="9.140625" style="7"/>
  </cols>
  <sheetData>
    <row r="1" spans="1:12" s="10" customFormat="1" ht="45" x14ac:dyDescent="0.2">
      <c r="A1" s="10" t="s">
        <v>321</v>
      </c>
      <c r="B1" s="10" t="s">
        <v>139</v>
      </c>
      <c r="C1" s="10" t="s">
        <v>190</v>
      </c>
      <c r="D1" s="10" t="s">
        <v>191</v>
      </c>
      <c r="E1" s="10" t="s">
        <v>192</v>
      </c>
      <c r="F1" s="10" t="s">
        <v>193</v>
      </c>
      <c r="G1" s="10" t="s">
        <v>194</v>
      </c>
      <c r="H1" s="10" t="s">
        <v>195</v>
      </c>
      <c r="I1" s="10" t="s">
        <v>196</v>
      </c>
      <c r="J1" s="10" t="s">
        <v>319</v>
      </c>
      <c r="K1" s="10" t="s">
        <v>197</v>
      </c>
      <c r="L1" s="10" t="s">
        <v>198</v>
      </c>
    </row>
    <row r="2" spans="1:12" x14ac:dyDescent="0.2">
      <c r="A2" s="7" t="s">
        <v>199</v>
      </c>
      <c r="B2" s="7" t="s">
        <v>181</v>
      </c>
      <c r="C2" s="7" t="s">
        <v>200</v>
      </c>
      <c r="D2" s="7">
        <v>2442</v>
      </c>
      <c r="E2" s="7" t="s">
        <v>201</v>
      </c>
      <c r="F2" s="7" t="s">
        <v>202</v>
      </c>
      <c r="G2" s="7" t="s">
        <v>61</v>
      </c>
      <c r="H2" s="7">
        <v>190</v>
      </c>
      <c r="I2" s="7">
        <v>2047</v>
      </c>
      <c r="J2" s="7">
        <v>1062438</v>
      </c>
      <c r="K2" s="7">
        <v>1230899.1000000001</v>
      </c>
      <c r="L2" s="7" t="s">
        <v>218</v>
      </c>
    </row>
    <row r="3" spans="1:12" x14ac:dyDescent="0.2">
      <c r="A3" s="7" t="s">
        <v>199</v>
      </c>
      <c r="B3" s="7" t="s">
        <v>181</v>
      </c>
      <c r="C3" s="7" t="s">
        <v>200</v>
      </c>
      <c r="D3" s="7">
        <v>2442</v>
      </c>
      <c r="E3" s="7" t="s">
        <v>203</v>
      </c>
      <c r="F3" s="7" t="s">
        <v>202</v>
      </c>
      <c r="G3" s="7" t="s">
        <v>61</v>
      </c>
      <c r="H3" s="7">
        <v>190</v>
      </c>
      <c r="I3" s="7">
        <v>2047</v>
      </c>
      <c r="J3" s="7">
        <v>1071679</v>
      </c>
      <c r="K3" s="7">
        <v>1234120.602</v>
      </c>
      <c r="L3" s="7" t="s">
        <v>218</v>
      </c>
    </row>
    <row r="4" spans="1:12" x14ac:dyDescent="0.2">
      <c r="A4" s="7" t="s">
        <v>199</v>
      </c>
      <c r="B4" s="7" t="s">
        <v>181</v>
      </c>
      <c r="C4" s="7" t="s">
        <v>200</v>
      </c>
      <c r="D4" s="7">
        <v>2442</v>
      </c>
      <c r="E4" s="7" t="s">
        <v>204</v>
      </c>
      <c r="F4" s="7" t="s">
        <v>202</v>
      </c>
      <c r="G4" s="7" t="s">
        <v>61</v>
      </c>
      <c r="H4" s="7">
        <v>253.4</v>
      </c>
      <c r="I4" s="7">
        <v>2047</v>
      </c>
      <c r="J4" s="7">
        <v>1423980</v>
      </c>
      <c r="K4" s="7">
        <v>1911875.148</v>
      </c>
      <c r="L4" s="7" t="s">
        <v>218</v>
      </c>
    </row>
    <row r="5" spans="1:12" x14ac:dyDescent="0.2">
      <c r="A5" s="7" t="s">
        <v>199</v>
      </c>
      <c r="B5" s="7" t="s">
        <v>181</v>
      </c>
      <c r="C5" s="7" t="s">
        <v>200</v>
      </c>
      <c r="D5" s="7">
        <v>2442</v>
      </c>
      <c r="E5" s="7" t="s">
        <v>205</v>
      </c>
      <c r="F5" s="7" t="s">
        <v>202</v>
      </c>
      <c r="G5" s="7" t="s">
        <v>61</v>
      </c>
      <c r="H5" s="7">
        <v>818.1</v>
      </c>
      <c r="I5" s="7">
        <v>2047</v>
      </c>
      <c r="J5" s="7">
        <v>5043596</v>
      </c>
      <c r="K5" s="7">
        <v>5012380.9340000004</v>
      </c>
      <c r="L5" s="7" t="s">
        <v>218</v>
      </c>
    </row>
    <row r="6" spans="1:12" x14ac:dyDescent="0.2">
      <c r="A6" s="7" t="s">
        <v>199</v>
      </c>
      <c r="B6" s="7" t="s">
        <v>181</v>
      </c>
      <c r="C6" s="7" t="s">
        <v>200</v>
      </c>
      <c r="D6" s="7">
        <v>2442</v>
      </c>
      <c r="E6" s="7" t="s">
        <v>206</v>
      </c>
      <c r="F6" s="7" t="s">
        <v>202</v>
      </c>
      <c r="G6" s="7" t="s">
        <v>61</v>
      </c>
      <c r="H6" s="7">
        <v>818.1</v>
      </c>
      <c r="I6" s="7">
        <v>2047</v>
      </c>
      <c r="J6" s="7">
        <v>5139692</v>
      </c>
      <c r="K6" s="7">
        <v>5102038.3470000001</v>
      </c>
      <c r="L6" s="7" t="s">
        <v>218</v>
      </c>
    </row>
    <row r="7" spans="1:12" x14ac:dyDescent="0.2">
      <c r="A7" s="7" t="s">
        <v>199</v>
      </c>
      <c r="B7" s="7" t="s">
        <v>181</v>
      </c>
      <c r="C7" s="7" t="s">
        <v>181</v>
      </c>
      <c r="D7" s="7">
        <v>4941</v>
      </c>
      <c r="E7" s="7" t="s">
        <v>207</v>
      </c>
      <c r="F7" s="7" t="s">
        <v>208</v>
      </c>
      <c r="G7" s="7" t="s">
        <v>61</v>
      </c>
      <c r="H7" s="7">
        <v>803.1</v>
      </c>
      <c r="I7" s="7">
        <v>16700</v>
      </c>
      <c r="J7" s="7">
        <v>5295416</v>
      </c>
      <c r="K7" s="7">
        <v>6184134.2779999999</v>
      </c>
      <c r="L7" s="7" t="s">
        <v>218</v>
      </c>
    </row>
    <row r="8" spans="1:12" x14ac:dyDescent="0.2">
      <c r="A8" s="7" t="s">
        <v>199</v>
      </c>
      <c r="B8" s="7" t="s">
        <v>181</v>
      </c>
      <c r="C8" s="7" t="s">
        <v>181</v>
      </c>
      <c r="D8" s="7">
        <v>4941</v>
      </c>
      <c r="E8" s="7" t="s">
        <v>209</v>
      </c>
      <c r="F8" s="7" t="s">
        <v>208</v>
      </c>
      <c r="G8" s="7" t="s">
        <v>61</v>
      </c>
      <c r="H8" s="7">
        <v>803.1</v>
      </c>
      <c r="I8" s="7">
        <v>16700</v>
      </c>
      <c r="J8" s="7">
        <v>5329026</v>
      </c>
      <c r="K8" s="7">
        <v>5306560.4610000001</v>
      </c>
      <c r="L8" s="7" t="s">
        <v>218</v>
      </c>
    </row>
    <row r="9" spans="1:12" x14ac:dyDescent="0.2">
      <c r="A9" s="7" t="s">
        <v>199</v>
      </c>
      <c r="B9" s="7" t="s">
        <v>181</v>
      </c>
      <c r="C9" s="7" t="s">
        <v>181</v>
      </c>
      <c r="D9" s="7">
        <v>4941</v>
      </c>
      <c r="E9" s="7" t="s">
        <v>210</v>
      </c>
      <c r="F9" s="7" t="s">
        <v>208</v>
      </c>
      <c r="G9" s="7" t="s">
        <v>61</v>
      </c>
      <c r="H9" s="7">
        <v>803.1</v>
      </c>
      <c r="I9" s="7">
        <v>16700</v>
      </c>
      <c r="J9" s="7">
        <v>5263626</v>
      </c>
      <c r="K9" s="7">
        <v>5434863.7209999999</v>
      </c>
      <c r="L9" s="7" t="s">
        <v>218</v>
      </c>
    </row>
    <row r="10" spans="1:12" x14ac:dyDescent="0.2">
      <c r="A10" s="7" t="s">
        <v>199</v>
      </c>
      <c r="B10" s="7" t="s">
        <v>182</v>
      </c>
      <c r="C10" s="7" t="s">
        <v>211</v>
      </c>
      <c r="D10" s="7">
        <v>7790</v>
      </c>
      <c r="E10" s="7" t="s">
        <v>201</v>
      </c>
      <c r="F10" s="7" t="s">
        <v>208</v>
      </c>
      <c r="G10" s="7" t="s">
        <v>61</v>
      </c>
      <c r="H10" s="7">
        <v>499.5</v>
      </c>
      <c r="I10" s="7">
        <v>5500</v>
      </c>
      <c r="J10" s="7">
        <v>3090433</v>
      </c>
      <c r="K10" s="7">
        <v>3314096.5249999999</v>
      </c>
      <c r="L10" s="7" t="s">
        <v>218</v>
      </c>
    </row>
    <row r="11" spans="1:12" x14ac:dyDescent="0.2">
      <c r="A11" s="7" t="s">
        <v>199</v>
      </c>
      <c r="B11" s="7" t="s">
        <v>182</v>
      </c>
      <c r="C11" s="7" t="s">
        <v>211</v>
      </c>
      <c r="D11" s="7">
        <v>7790</v>
      </c>
      <c r="E11" s="7" t="s">
        <v>203</v>
      </c>
      <c r="F11" s="7" t="s">
        <v>212</v>
      </c>
      <c r="G11" s="7" t="s">
        <v>61</v>
      </c>
      <c r="H11" s="7">
        <v>110</v>
      </c>
      <c r="I11" s="7">
        <v>0</v>
      </c>
      <c r="J11" s="7">
        <v>0</v>
      </c>
      <c r="K11" s="7">
        <v>0</v>
      </c>
      <c r="L11" s="7" t="s">
        <v>219</v>
      </c>
    </row>
    <row r="12" spans="1:12" x14ac:dyDescent="0.2">
      <c r="A12" s="7" t="s">
        <v>213</v>
      </c>
      <c r="B12" s="7" t="s">
        <v>183</v>
      </c>
      <c r="C12" s="7" t="s">
        <v>214</v>
      </c>
      <c r="D12" s="7">
        <v>55177</v>
      </c>
      <c r="E12" s="7" t="s">
        <v>215</v>
      </c>
      <c r="F12" s="7" t="s">
        <v>80</v>
      </c>
      <c r="G12" s="7" t="s">
        <v>69</v>
      </c>
      <c r="H12" s="7">
        <v>236</v>
      </c>
      <c r="I12" s="7">
        <v>2150</v>
      </c>
      <c r="J12" s="7">
        <v>453364.3333</v>
      </c>
      <c r="K12" s="7">
        <v>194510.06299999999</v>
      </c>
      <c r="L12" s="7" t="s">
        <v>218</v>
      </c>
    </row>
    <row r="13" spans="1:12" x14ac:dyDescent="0.2">
      <c r="A13" s="7" t="s">
        <v>213</v>
      </c>
      <c r="B13" s="7" t="s">
        <v>183</v>
      </c>
      <c r="C13" s="7" t="s">
        <v>214</v>
      </c>
      <c r="D13" s="7">
        <v>55177</v>
      </c>
      <c r="E13" s="7" t="s">
        <v>216</v>
      </c>
      <c r="F13" s="7" t="s">
        <v>80</v>
      </c>
      <c r="G13" s="7" t="s">
        <v>69</v>
      </c>
      <c r="H13" s="7">
        <v>236</v>
      </c>
      <c r="I13" s="7">
        <v>2150</v>
      </c>
      <c r="J13" s="7">
        <v>453364.3333</v>
      </c>
      <c r="K13" s="7">
        <v>194510.06299999999</v>
      </c>
      <c r="L13" s="7" t="s">
        <v>218</v>
      </c>
    </row>
    <row r="14" spans="1:12" x14ac:dyDescent="0.2">
      <c r="A14" s="7" t="s">
        <v>213</v>
      </c>
      <c r="B14" s="7" t="s">
        <v>183</v>
      </c>
      <c r="C14" s="7" t="s">
        <v>214</v>
      </c>
      <c r="D14" s="7">
        <v>55177</v>
      </c>
      <c r="E14" s="7" t="s">
        <v>217</v>
      </c>
      <c r="F14" s="7" t="s">
        <v>80</v>
      </c>
      <c r="G14" s="7" t="s">
        <v>69</v>
      </c>
      <c r="H14" s="7">
        <v>236</v>
      </c>
      <c r="I14" s="7">
        <v>2150</v>
      </c>
      <c r="J14" s="7">
        <v>453364.3333</v>
      </c>
      <c r="K14" s="7">
        <v>194510.06299999999</v>
      </c>
      <c r="L14" s="7" t="s">
        <v>218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B20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16" style="17" customWidth="1"/>
    <col min="2" max="3" width="9.28515625" style="17" bestFit="1" customWidth="1"/>
    <col min="4" max="4" width="9.85546875" style="17" bestFit="1" customWidth="1"/>
    <col min="5" max="5" width="9.28515625" style="17" bestFit="1" customWidth="1"/>
    <col min="6" max="6" width="9.85546875" style="17" bestFit="1" customWidth="1"/>
    <col min="7" max="7" width="9.28515625" style="17" bestFit="1" customWidth="1"/>
    <col min="8" max="8" width="9.85546875" style="17" bestFit="1" customWidth="1"/>
    <col min="9" max="10" width="9.28515625" style="17" bestFit="1" customWidth="1"/>
    <col min="11" max="11" width="10.85546875" style="17" customWidth="1"/>
    <col min="12" max="12" width="9.28515625" style="17" bestFit="1" customWidth="1"/>
    <col min="13" max="13" width="11.85546875" style="17" customWidth="1"/>
    <col min="14" max="14" width="12" style="17" customWidth="1"/>
    <col min="15" max="15" width="11.5703125" style="17" customWidth="1"/>
    <col min="16" max="18" width="9.28515625" style="17" bestFit="1" customWidth="1"/>
    <col min="19" max="19" width="11.28515625" style="17" customWidth="1"/>
    <col min="20" max="20" width="13" style="17" customWidth="1"/>
    <col min="21" max="30" width="10.7109375" style="17" customWidth="1"/>
    <col min="31" max="40" width="9.28515625" style="17" bestFit="1" customWidth="1"/>
    <col min="41" max="41" width="12.28515625" style="17" bestFit="1" customWidth="1"/>
    <col min="42" max="42" width="9.85546875" style="17" bestFit="1" customWidth="1"/>
    <col min="43" max="54" width="9.28515625" style="17" bestFit="1" customWidth="1"/>
    <col min="55" max="16384" width="9.140625" style="17"/>
  </cols>
  <sheetData>
    <row r="1" spans="1:54" ht="21.75" thickBot="1" x14ac:dyDescent="0.4">
      <c r="A1" s="1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26.25" thickTop="1" x14ac:dyDescent="0.2">
      <c r="A2" s="14"/>
      <c r="B2" s="69"/>
      <c r="C2" s="70"/>
      <c r="D2" s="70"/>
      <c r="E2" s="70"/>
      <c r="F2" s="70"/>
      <c r="G2" s="70"/>
      <c r="H2" s="70"/>
      <c r="I2" s="70"/>
      <c r="J2" s="70"/>
      <c r="K2" s="71"/>
      <c r="L2" s="15" t="s">
        <v>133</v>
      </c>
      <c r="M2" s="72" t="s">
        <v>134</v>
      </c>
      <c r="N2" s="73"/>
      <c r="O2" s="73"/>
      <c r="P2" s="73"/>
      <c r="Q2" s="73"/>
      <c r="R2" s="73"/>
      <c r="S2" s="74"/>
      <c r="T2" s="16" t="s">
        <v>135</v>
      </c>
      <c r="U2" s="75" t="s">
        <v>136</v>
      </c>
      <c r="V2" s="76"/>
      <c r="W2" s="76"/>
      <c r="X2" s="76"/>
      <c r="Y2" s="76"/>
      <c r="Z2" s="76"/>
      <c r="AA2" s="76"/>
      <c r="AB2" s="76"/>
      <c r="AC2" s="76"/>
      <c r="AD2" s="77"/>
      <c r="AE2" s="78" t="s">
        <v>137</v>
      </c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81" t="s">
        <v>138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3"/>
    </row>
    <row r="3" spans="1:54" ht="89.25" x14ac:dyDescent="0.2">
      <c r="A3" s="18" t="s">
        <v>139</v>
      </c>
      <c r="B3" s="19" t="s">
        <v>140</v>
      </c>
      <c r="C3" s="19" t="s">
        <v>141</v>
      </c>
      <c r="D3" s="19" t="s">
        <v>142</v>
      </c>
      <c r="E3" s="19" t="s">
        <v>143</v>
      </c>
      <c r="F3" s="19" t="s">
        <v>144</v>
      </c>
      <c r="G3" s="19" t="s">
        <v>145</v>
      </c>
      <c r="H3" s="19" t="s">
        <v>146</v>
      </c>
      <c r="I3" s="19" t="s">
        <v>147</v>
      </c>
      <c r="J3" s="19" t="s">
        <v>148</v>
      </c>
      <c r="K3" s="19" t="s">
        <v>149</v>
      </c>
      <c r="L3" s="20" t="s">
        <v>150</v>
      </c>
      <c r="M3" s="21" t="s">
        <v>151</v>
      </c>
      <c r="N3" s="21" t="s">
        <v>239</v>
      </c>
      <c r="O3" s="21" t="s">
        <v>152</v>
      </c>
      <c r="P3" s="21" t="s">
        <v>143</v>
      </c>
      <c r="Q3" s="21" t="s">
        <v>147</v>
      </c>
      <c r="R3" s="21" t="s">
        <v>153</v>
      </c>
      <c r="S3" s="21" t="s">
        <v>240</v>
      </c>
      <c r="T3" s="22" t="s">
        <v>154</v>
      </c>
      <c r="U3" s="23" t="s">
        <v>155</v>
      </c>
      <c r="V3" s="23" t="s">
        <v>156</v>
      </c>
      <c r="W3" s="23" t="s">
        <v>157</v>
      </c>
      <c r="X3" s="23" t="s">
        <v>158</v>
      </c>
      <c r="Y3" s="23" t="s">
        <v>159</v>
      </c>
      <c r="Z3" s="23" t="s">
        <v>160</v>
      </c>
      <c r="AA3" s="23" t="s">
        <v>161</v>
      </c>
      <c r="AB3" s="23" t="s">
        <v>162</v>
      </c>
      <c r="AC3" s="23" t="s">
        <v>163</v>
      </c>
      <c r="AD3" s="23" t="s">
        <v>164</v>
      </c>
      <c r="AE3" s="24" t="s">
        <v>165</v>
      </c>
      <c r="AF3" s="24" t="s">
        <v>166</v>
      </c>
      <c r="AG3" s="24" t="s">
        <v>167</v>
      </c>
      <c r="AH3" s="24" t="s">
        <v>168</v>
      </c>
      <c r="AI3" s="24" t="s">
        <v>169</v>
      </c>
      <c r="AJ3" s="24" t="s">
        <v>170</v>
      </c>
      <c r="AK3" s="24" t="s">
        <v>171</v>
      </c>
      <c r="AL3" s="24" t="s">
        <v>172</v>
      </c>
      <c r="AM3" s="24" t="s">
        <v>173</v>
      </c>
      <c r="AN3" s="24" t="s">
        <v>174</v>
      </c>
      <c r="AO3" s="24" t="s">
        <v>175</v>
      </c>
      <c r="AP3" s="25" t="s">
        <v>176</v>
      </c>
      <c r="AQ3" s="26">
        <v>2020</v>
      </c>
      <c r="AR3" s="26">
        <v>2021</v>
      </c>
      <c r="AS3" s="26">
        <v>2022</v>
      </c>
      <c r="AT3" s="26">
        <v>2023</v>
      </c>
      <c r="AU3" s="26">
        <v>2024</v>
      </c>
      <c r="AV3" s="26">
        <v>2025</v>
      </c>
      <c r="AW3" s="26">
        <v>2026</v>
      </c>
      <c r="AX3" s="26">
        <v>2027</v>
      </c>
      <c r="AY3" s="26">
        <v>2028</v>
      </c>
      <c r="AZ3" s="26">
        <v>2029</v>
      </c>
      <c r="BA3" s="27" t="s">
        <v>177</v>
      </c>
      <c r="BB3" s="27" t="s">
        <v>178</v>
      </c>
    </row>
    <row r="4" spans="1:54" x14ac:dyDescent="0.2">
      <c r="A4" s="28" t="s">
        <v>179</v>
      </c>
      <c r="B4" s="29">
        <f>SUMIFS(tPREGUs[CO2 (MT)], tPREGUs[Include?],"Y",tPREGUs[Fuel],"Coal")*cMT2LB/F4</f>
        <v>2215.5639697090478</v>
      </c>
      <c r="C4" s="29">
        <f>SUMIFS(tPREGUs[CO2 (MT)],tPREGUs[Include?],"Y",tPREGUs[Fuel],"NG",tPREGUs[Prime mover],"CC")*cMT2LB/G4</f>
        <v>927.99376193073351</v>
      </c>
      <c r="D4" s="29">
        <f>SUMIFS(tPREGUs[CO2 (MT)],tPREGUs[Include?],"Y",tPREGUs[Fuel],"&lt;&gt;Coal", tPREGUs[Prime mover],"ST")*cMT2LB/H4</f>
        <v>1792.9453454305308</v>
      </c>
      <c r="E4" s="29">
        <v>0</v>
      </c>
      <c r="F4" s="29">
        <f>SUMIFS(tPREGUs[Net Generation (MWh)], tPREGUs[Include?],"Y",tPREGUs[Fuel],"Coal")</f>
        <v>3417319.9074880593</v>
      </c>
      <c r="G4" s="29">
        <f>SUMIFS(tPREGUs[Net Generation (MWh)],tPREGUs[Include?],"Y",tPREGUs[Fuel],"NG",tPREGUs[Prime mover],"CC")</f>
        <v>3802792.7985828486</v>
      </c>
      <c r="H4" s="29">
        <f>SUMIFS(tPREGUs[Net Generation (MWh)],tPREGUs[Include?],"Y",tPREGUs[Fuel],"&lt;&gt;Coal", tPREGUs[Prime mover],"ST")</f>
        <v>12763391.454358565</v>
      </c>
      <c r="I4" s="29">
        <v>0</v>
      </c>
      <c r="J4" s="29">
        <f>SUMIFS(tPREGUs[Capacity (MW)],tPREGUs[Include?],"Y",tPREGUs[Fuel],"NG",tPREGUs[Prime mover],"CC")</f>
        <v>1080</v>
      </c>
      <c r="K4" s="29">
        <v>0</v>
      </c>
      <c r="L4" s="30">
        <f>B4*0.94+N("The .94 reflects a 6% HRI")</f>
        <v>2082.630131526505</v>
      </c>
      <c r="M4" s="31">
        <f t="shared" ref="M4:M5" si="0">MAX(F4-((O4-G4)*(F4/(F4+H4))), 0)</f>
        <v>2817961.1878736829</v>
      </c>
      <c r="N4" s="31">
        <f t="shared" ref="N4:N5" si="1">MAX(H4-((O4-G4)*(H4/(H4+F4))),0)</f>
        <v>10524838.97255579</v>
      </c>
      <c r="O4" s="31">
        <f>MIN((J4*cHours*cOpt1NGCC), SUM(F4:H4))</f>
        <v>6640704</v>
      </c>
      <c r="P4" s="31">
        <f>0.55*cHours*C4*K4+E4</f>
        <v>0</v>
      </c>
      <c r="Q4" s="31">
        <f>K4*cHours*0.55+I4</f>
        <v>0</v>
      </c>
      <c r="R4" s="32">
        <f>IF(J4=0, 0, G4/(cHours*J4))</f>
        <v>0.40085433095768069</v>
      </c>
      <c r="S4" s="32">
        <f>IF(J4=0,0,(O4-(0.15*cHours*K4))/(cHours*J4))</f>
        <v>0.7</v>
      </c>
      <c r="T4" s="33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7">
        <v>1.1536048E-2</v>
      </c>
      <c r="AF4" s="37">
        <v>1.8814460690792244E-2</v>
      </c>
      <c r="AG4" s="37">
        <v>2.758082181046604E-2</v>
      </c>
      <c r="AH4" s="37">
        <v>3.7687944233580475E-2</v>
      </c>
      <c r="AI4" s="37">
        <v>4.8984245818188561E-2</v>
      </c>
      <c r="AJ4" s="37">
        <v>6.0364342893702905E-2</v>
      </c>
      <c r="AK4" s="37">
        <v>7.0822936601888375E-2</v>
      </c>
      <c r="AL4" s="37">
        <v>8.0382833780419771E-2</v>
      </c>
      <c r="AM4" s="37">
        <v>8.9065771661748366E-2</v>
      </c>
      <c r="AN4" s="37">
        <v>9.6892451922578421E-2</v>
      </c>
      <c r="AO4" s="40">
        <v>1</v>
      </c>
      <c r="AP4" s="41">
        <f>cPRSales*(1+cTDLoss)</f>
        <v>19513419.783</v>
      </c>
      <c r="AQ4" s="35">
        <f t="shared" ref="AQ4:AZ5" si="2">(($L4*$M4)+($N4*$D4)+($C4*$O4)+$P4)/($M4+$N4+$O4+$Q4+$T4+U4+(MIN(AE4*$AP4,$AP4*$AO4*AE4)))</f>
        <v>1529.1383670768907</v>
      </c>
      <c r="AR4" s="35">
        <f t="shared" si="2"/>
        <v>1518.4665393274156</v>
      </c>
      <c r="AS4" s="35">
        <f t="shared" si="2"/>
        <v>1505.8091356965597</v>
      </c>
      <c r="AT4" s="35">
        <f t="shared" si="2"/>
        <v>1491.4752602512126</v>
      </c>
      <c r="AU4" s="35">
        <f t="shared" si="2"/>
        <v>1475.7744366526467</v>
      </c>
      <c r="AV4" s="35">
        <f t="shared" si="2"/>
        <v>1460.2878911621647</v>
      </c>
      <c r="AW4" s="35">
        <f t="shared" si="2"/>
        <v>1446.3392447599206</v>
      </c>
      <c r="AX4" s="35">
        <f t="shared" si="2"/>
        <v>1433.8202853685357</v>
      </c>
      <c r="AY4" s="35">
        <f t="shared" si="2"/>
        <v>1422.6360744121826</v>
      </c>
      <c r="AZ4" s="35">
        <f t="shared" si="2"/>
        <v>1412.7032564983824</v>
      </c>
      <c r="BA4" s="36">
        <f>AVERAGE(AQ4:AZ4)</f>
        <v>1469.645049120591</v>
      </c>
      <c r="BB4" s="36">
        <f>AZ4</f>
        <v>1412.7032564983824</v>
      </c>
    </row>
    <row r="5" spans="1:54" x14ac:dyDescent="0.2">
      <c r="A5" s="28" t="s">
        <v>180</v>
      </c>
      <c r="B5" s="29">
        <v>0</v>
      </c>
      <c r="C5" s="29">
        <v>0</v>
      </c>
      <c r="D5" s="29">
        <f>SUMIF(tGuamEGUs[Include?],"Y",tGuamEGUs[CO2 (MT)])*cMT2LB/H5</f>
        <v>1947.8707626591574</v>
      </c>
      <c r="E5" s="29">
        <v>0</v>
      </c>
      <c r="F5" s="29">
        <v>0</v>
      </c>
      <c r="G5" s="29">
        <v>0</v>
      </c>
      <c r="H5" s="29">
        <f>SUMIF(tGuamEGUs[Include?],"Y",tGuamEGUs[Net Generation (MWh)])</f>
        <v>713075.48660000018</v>
      </c>
      <c r="I5" s="29">
        <v>0</v>
      </c>
      <c r="J5" s="29">
        <v>0</v>
      </c>
      <c r="K5" s="29">
        <v>0</v>
      </c>
      <c r="L5" s="30">
        <f>B5*0.94+N("The .94 reflects a 6% HRI")</f>
        <v>0</v>
      </c>
      <c r="M5" s="31">
        <f t="shared" si="0"/>
        <v>0</v>
      </c>
      <c r="N5" s="31">
        <f t="shared" si="1"/>
        <v>713075.48660000018</v>
      </c>
      <c r="O5" s="31">
        <f>MIN((J5*cHours*cOpt1NGCC), SUM(F5:H5))</f>
        <v>0</v>
      </c>
      <c r="P5" s="31">
        <f>0.55*cHours*C5*K5+E5</f>
        <v>0</v>
      </c>
      <c r="Q5" s="31">
        <f>K5*cHours*0.55+I5</f>
        <v>0</v>
      </c>
      <c r="R5" s="32">
        <f>IF(J5=0, 0, G5/(cHours*J5))</f>
        <v>0</v>
      </c>
      <c r="S5" s="32">
        <f>IF(K5&gt;0,(O5-(0.15*8784*K5))/(8784*K5),0)</f>
        <v>0</v>
      </c>
      <c r="T5" s="33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7">
        <v>1.1536048E-2</v>
      </c>
      <c r="AF5" s="37">
        <v>1.8814460690792244E-2</v>
      </c>
      <c r="AG5" s="37">
        <v>2.758082181046604E-2</v>
      </c>
      <c r="AH5" s="37">
        <v>3.7687944233580475E-2</v>
      </c>
      <c r="AI5" s="37">
        <v>4.8984245818188568E-2</v>
      </c>
      <c r="AJ5" s="37">
        <v>6.0364342893702905E-2</v>
      </c>
      <c r="AK5" s="37">
        <v>7.0822936601888362E-2</v>
      </c>
      <c r="AL5" s="37">
        <v>8.0382833780419743E-2</v>
      </c>
      <c r="AM5" s="37">
        <v>8.9065771661748339E-2</v>
      </c>
      <c r="AN5" s="37">
        <v>9.6892451922578393E-2</v>
      </c>
      <c r="AO5" s="40">
        <v>1</v>
      </c>
      <c r="AP5" s="41">
        <f>cGuamSales*(1+cTDLoss)</f>
        <v>1680891.9724999999</v>
      </c>
      <c r="AQ5" s="35">
        <f t="shared" si="2"/>
        <v>1896.3040642371345</v>
      </c>
      <c r="AR5" s="35">
        <f t="shared" si="2"/>
        <v>1865.1508563062564</v>
      </c>
      <c r="AS5" s="35">
        <f t="shared" si="2"/>
        <v>1828.9614033127386</v>
      </c>
      <c r="AT5" s="35">
        <f t="shared" si="2"/>
        <v>1788.9418309727635</v>
      </c>
      <c r="AU5" s="35">
        <f t="shared" si="2"/>
        <v>1746.2367279992875</v>
      </c>
      <c r="AV5" s="35">
        <f>(($L5*$M5)+($N5*$D5)+($C5*$O5)+$P5)/($M5+$N5+$O5+$Q5+$T5+Z5+(MIN(AJ5*$AP5,$AP5*$AO5*AJ5)))</f>
        <v>1705.2280554300132</v>
      </c>
      <c r="AW5" s="35">
        <f t="shared" si="2"/>
        <v>1669.2026413122037</v>
      </c>
      <c r="AX5" s="35">
        <f t="shared" si="2"/>
        <v>1637.5792266895071</v>
      </c>
      <c r="AY5" s="35">
        <f t="shared" si="2"/>
        <v>1609.8775525305771</v>
      </c>
      <c r="AZ5" s="35">
        <f t="shared" si="2"/>
        <v>1585.6987231468845</v>
      </c>
      <c r="BA5" s="36">
        <f t="shared" ref="BA5" si="3">AVERAGE(AQ5:AZ5)</f>
        <v>1733.3181081937364</v>
      </c>
      <c r="BB5" s="36">
        <f t="shared" ref="BB5" si="4">AZ5</f>
        <v>1585.6987231468845</v>
      </c>
    </row>
    <row r="7" spans="1:54" x14ac:dyDescent="0.2">
      <c r="A7" s="28" t="s">
        <v>181</v>
      </c>
      <c r="B7" s="29">
        <f>SUMIF(tTribalEGUs[State],A7, tTribalEGUs[Carbon Dioxide 
Emissions (Unadjusted)
(tons)])*2000/F7+N("The tribal CO2 is in short tons; multiplied by 2000 to convert to lbs")</f>
        <v>2120.6515416265024</v>
      </c>
      <c r="C7" s="29">
        <v>0</v>
      </c>
      <c r="D7" s="29">
        <v>0</v>
      </c>
      <c r="E7" s="29">
        <v>0</v>
      </c>
      <c r="F7" s="29">
        <f>SUMIF(tTribalEGUs[State],A7,tTribalEGUs[Net Energy Output (MWh)])</f>
        <v>29629453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0">
        <f>B7*0.94+N("The .94 reflects a 6% HRI")</f>
        <v>1993.4124491289122</v>
      </c>
      <c r="M7" s="31">
        <f t="shared" ref="M7:M8" si="5">MAX(F7-((O7-G7)*(F7/(F7+H7))), 0)</f>
        <v>29629453</v>
      </c>
      <c r="N7" s="31">
        <f t="shared" ref="N7:N8" si="6">MAX(H7-((O7-G7)*(H7/(H7+F7))),0)</f>
        <v>0</v>
      </c>
      <c r="O7" s="31">
        <f>MIN((J7*cHours*cOpt1NGCC), SUM(F7:H7))</f>
        <v>0</v>
      </c>
      <c r="P7" s="31">
        <f>0.55*cHours*C7*K7+E7</f>
        <v>0</v>
      </c>
      <c r="Q7" s="31">
        <f>K7*cHours*0.55+I7</f>
        <v>0</v>
      </c>
      <c r="R7" s="32">
        <f>IF(J7=0, 0, G7/(cHours*J7))</f>
        <v>0</v>
      </c>
      <c r="S7" s="32">
        <f>IF(J7=0,0,(O7-(0.15*8784*K7))/(8784*J7))</f>
        <v>0</v>
      </c>
      <c r="T7" s="33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7">
        <v>1.1295297775791078E-2</v>
      </c>
      <c r="AF7" s="37">
        <v>1.8350025977033124E-2</v>
      </c>
      <c r="AG7" s="37">
        <v>2.679855874941886E-2</v>
      </c>
      <c r="AH7" s="37">
        <v>3.6485927791940306E-2</v>
      </c>
      <c r="AI7" s="37">
        <v>4.7256540094728995E-2</v>
      </c>
      <c r="AJ7" s="37">
        <v>5.8015197609317115E-2</v>
      </c>
      <c r="AK7" s="37">
        <v>6.7778525434371892E-2</v>
      </c>
      <c r="AL7" s="37">
        <v>7.659130443900232E-2</v>
      </c>
      <c r="AM7" s="37">
        <v>8.4496089259891161E-2</v>
      </c>
      <c r="AN7" s="37">
        <v>9.1533317031489064E-2</v>
      </c>
      <c r="AO7" s="40">
        <f>SUM(F7:I7)/AP7</f>
        <v>40.767969547601119</v>
      </c>
      <c r="AP7" s="41">
        <f>cNavajoSales*(1+cTDLoss)</f>
        <v>726782.65139999997</v>
      </c>
      <c r="AQ7" s="35">
        <f t="shared" ref="AQ7:AZ9" si="7">(($L7*$M7)+($N7*$D7)+($C7*$O7)+$P7)/($M7+$N7+$O7+$Q7+$T7+U7+(MIN(AE7*$AP7,$AP7*$AO7*AE7)))</f>
        <v>1992.8603011858763</v>
      </c>
      <c r="AR7" s="35">
        <f t="shared" si="7"/>
        <v>1992.5156001215271</v>
      </c>
      <c r="AS7" s="35">
        <f t="shared" si="7"/>
        <v>1992.1029532521238</v>
      </c>
      <c r="AT7" s="35">
        <f t="shared" si="7"/>
        <v>1991.6300089068552</v>
      </c>
      <c r="AU7" s="35">
        <f t="shared" si="7"/>
        <v>1991.1044434075866</v>
      </c>
      <c r="AV7" s="35">
        <f t="shared" si="7"/>
        <v>1990.5797381024706</v>
      </c>
      <c r="AW7" s="35">
        <f t="shared" si="7"/>
        <v>1990.1038148376331</v>
      </c>
      <c r="AX7" s="35">
        <f t="shared" si="7"/>
        <v>1989.6744224105737</v>
      </c>
      <c r="AY7" s="35">
        <f t="shared" si="7"/>
        <v>1989.289428557018</v>
      </c>
      <c r="AZ7" s="35">
        <f t="shared" si="7"/>
        <v>1988.9468134532865</v>
      </c>
      <c r="BA7" s="36">
        <f>AVERAGE(AQ7:AZ7)</f>
        <v>1990.8807524234951</v>
      </c>
      <c r="BB7" s="36">
        <f>AZ7</f>
        <v>1988.9468134532865</v>
      </c>
    </row>
    <row r="8" spans="1:54" x14ac:dyDescent="0.2">
      <c r="A8" s="28" t="s">
        <v>182</v>
      </c>
      <c r="B8" s="29">
        <f>SUMIF(tTribalEGUs[State],A8, tTribalEGUs[Carbon Dioxide 
Emissions (Unadjusted)
(tons)])*2000/F8+N("The tribal CO2 is in short tons; multiplied by 2000 to convert to lbs")</f>
        <v>2144.7457524560473</v>
      </c>
      <c r="C8" s="29">
        <v>0</v>
      </c>
      <c r="D8" s="29">
        <v>0</v>
      </c>
      <c r="E8" s="29">
        <v>0</v>
      </c>
      <c r="F8" s="29">
        <f>SUMIF(tTribalEGUs[State],A8,tTribalEGUs[Net Energy Output (MWh)])</f>
        <v>3090433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30">
        <f>B8*0.94+N("The .94 reflects a 6% HRI")</f>
        <v>2016.0610073086843</v>
      </c>
      <c r="M8" s="31">
        <f t="shared" si="5"/>
        <v>3090433</v>
      </c>
      <c r="N8" s="31">
        <f t="shared" si="6"/>
        <v>0</v>
      </c>
      <c r="O8" s="31">
        <f>MIN((J8*cHours*cOpt1NGCC), SUM(F8:H8))</f>
        <v>0</v>
      </c>
      <c r="P8" s="31">
        <f>0.55*cHours*C8*K8+E8</f>
        <v>0</v>
      </c>
      <c r="Q8" s="31">
        <f>K8*cHours*0.55+I8</f>
        <v>0</v>
      </c>
      <c r="R8" s="32">
        <f>IF(J8=0, 0, G8/(cHours*J8))</f>
        <v>0</v>
      </c>
      <c r="S8" s="32">
        <f>IF(J8=0,0,(O8-(0.15*8784*K8))/(8784*J8))</f>
        <v>0</v>
      </c>
      <c r="T8" s="33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7">
        <v>1.1355107428297682E-2</v>
      </c>
      <c r="AF8" s="37">
        <v>1.8465143556097564E-2</v>
      </c>
      <c r="AG8" s="37">
        <v>2.6992023628938364E-2</v>
      </c>
      <c r="AH8" s="37">
        <v>3.6782557285937843E-2</v>
      </c>
      <c r="AI8" s="37">
        <v>4.7681994615302072E-2</v>
      </c>
      <c r="AJ8" s="37">
        <v>5.8592445747772413E-2</v>
      </c>
      <c r="AK8" s="37">
        <v>6.8524953539282632E-2</v>
      </c>
      <c r="AL8" s="37">
        <v>7.7518783956747842E-2</v>
      </c>
      <c r="AM8" s="37">
        <v>8.5611335966106622E-2</v>
      </c>
      <c r="AN8" s="37">
        <v>9.2838226412930006E-2</v>
      </c>
      <c r="AO8" s="40">
        <f t="shared" ref="AO8:AO9" si="8">SUM(F8:I8)/AP8</f>
        <v>6.5752914318297391</v>
      </c>
      <c r="AP8" s="41">
        <v>470007</v>
      </c>
      <c r="AQ8" s="35">
        <f t="shared" si="7"/>
        <v>2012.585401143461</v>
      </c>
      <c r="AR8" s="35">
        <f>(($L8*$M8)+($N8*$D8)+($C8*$O8)+$P8)/($M8+$N8+$O8+$Q8+$T8+V8+(MIN(AF8*$AP8,$AP8*$AO8*AF8)))</f>
        <v>2010.4152338421945</v>
      </c>
      <c r="AS8" s="35">
        <f t="shared" si="7"/>
        <v>2007.8187731311034</v>
      </c>
      <c r="AT8" s="35">
        <f t="shared" si="7"/>
        <v>2004.8457850326863</v>
      </c>
      <c r="AU8" s="35">
        <f t="shared" si="7"/>
        <v>2001.5464073088151</v>
      </c>
      <c r="AV8" s="35">
        <f t="shared" si="7"/>
        <v>1998.254553747717</v>
      </c>
      <c r="AW8" s="35">
        <f t="shared" si="7"/>
        <v>1995.2671624994837</v>
      </c>
      <c r="AX8" s="35">
        <f t="shared" si="7"/>
        <v>1992.5697919274999</v>
      </c>
      <c r="AY8" s="35">
        <f t="shared" si="7"/>
        <v>1990.1489527056135</v>
      </c>
      <c r="AZ8" s="35">
        <f t="shared" si="7"/>
        <v>1987.9920377697611</v>
      </c>
      <c r="BA8" s="36">
        <f>AVERAGE(AQ8:AZ8)</f>
        <v>2000.1444099108335</v>
      </c>
      <c r="BB8" s="36">
        <f>AZ8</f>
        <v>1987.9920377697611</v>
      </c>
    </row>
    <row r="9" spans="1:54" x14ac:dyDescent="0.2">
      <c r="A9" s="28" t="s">
        <v>183</v>
      </c>
      <c r="B9" s="29">
        <v>0</v>
      </c>
      <c r="C9" s="29">
        <f>SUMIF(tTribalEGUs[State],A9, tTribalEGUs[Carbon Dioxide 
Emissions (Unadjusted)
(tons)])*2000/G9+N("The tribal CO2 is in short tons; multiplied by 2000 to convert to lbs")</f>
        <v>858.0739538294863</v>
      </c>
      <c r="D9" s="29">
        <v>0</v>
      </c>
      <c r="E9" s="29">
        <v>0</v>
      </c>
      <c r="F9" s="29">
        <v>0</v>
      </c>
      <c r="G9" s="29">
        <f>SUMIF(tTribalEGUs[State],A9,tTribalEGUs[Net Energy Output (MWh)])</f>
        <v>1360092.9998999999</v>
      </c>
      <c r="H9" s="29">
        <v>0</v>
      </c>
      <c r="I9" s="29">
        <v>0</v>
      </c>
      <c r="J9" s="29">
        <f>SUMIF(tTribalEGUs[State],"Fort Mojave",tTribalEGUs[Nameplate 
Capacity 
(MW)])</f>
        <v>708</v>
      </c>
      <c r="K9" s="29">
        <v>0</v>
      </c>
      <c r="L9" s="30">
        <f>B9*0.94+N("The .94 reflects a 6% HRI")</f>
        <v>0</v>
      </c>
      <c r="M9" s="31">
        <v>0</v>
      </c>
      <c r="N9" s="31">
        <v>0</v>
      </c>
      <c r="O9" s="31">
        <f>MIN((J9*cHours*cOpt1NGCC), SUM(F9:H9))</f>
        <v>1360092.9998999999</v>
      </c>
      <c r="P9" s="31">
        <f>0.55*cHours*C9*K9+E9</f>
        <v>0</v>
      </c>
      <c r="Q9" s="31">
        <f>K9*cHours*0.55+I9</f>
        <v>0</v>
      </c>
      <c r="R9" s="32">
        <f>IF(J9=0, 0, G9/(cHours*J9))</f>
        <v>0.2186970982005032</v>
      </c>
      <c r="S9" s="32">
        <f>(O9-(0.15*8784*K9))/(8784*J9)</f>
        <v>0.2186970982005032</v>
      </c>
      <c r="T9" s="33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7">
        <v>1.1295297775791083E-2</v>
      </c>
      <c r="AF9" s="37">
        <v>1.8350025977033124E-2</v>
      </c>
      <c r="AG9" s="37">
        <v>2.679855874941886E-2</v>
      </c>
      <c r="AH9" s="37">
        <v>3.6485927791940306E-2</v>
      </c>
      <c r="AI9" s="37">
        <v>4.7256540094728988E-2</v>
      </c>
      <c r="AJ9" s="37">
        <v>5.8015197609317122E-2</v>
      </c>
      <c r="AK9" s="37">
        <v>6.7778525434371892E-2</v>
      </c>
      <c r="AL9" s="37">
        <v>7.6591304439002333E-2</v>
      </c>
      <c r="AM9" s="37">
        <v>8.4496089259891174E-2</v>
      </c>
      <c r="AN9" s="37">
        <v>9.1533317031489064E-2</v>
      </c>
      <c r="AO9" s="40">
        <f t="shared" si="8"/>
        <v>26.35593975560413</v>
      </c>
      <c r="AP9" s="41">
        <f>cFtMojaveSales*(1+cTDLoss)</f>
        <v>51604.799999999996</v>
      </c>
      <c r="AQ9" s="35">
        <f t="shared" si="7"/>
        <v>857.70636880198776</v>
      </c>
      <c r="AR9" s="35">
        <f t="shared" si="7"/>
        <v>857.47694517168406</v>
      </c>
      <c r="AS9" s="35">
        <f t="shared" si="7"/>
        <v>857.202355703884</v>
      </c>
      <c r="AT9" s="35">
        <f t="shared" si="7"/>
        <v>856.88771863098145</v>
      </c>
      <c r="AU9" s="35">
        <f t="shared" si="7"/>
        <v>856.53816983768263</v>
      </c>
      <c r="AV9" s="35">
        <f t="shared" si="7"/>
        <v>856.18929361548192</v>
      </c>
      <c r="AW9" s="35">
        <f t="shared" si="7"/>
        <v>855.87293932101943</v>
      </c>
      <c r="AX9" s="35">
        <f t="shared" si="7"/>
        <v>855.5875856765598</v>
      </c>
      <c r="AY9" s="35">
        <f t="shared" si="7"/>
        <v>855.33179428946312</v>
      </c>
      <c r="AZ9" s="35">
        <f t="shared" si="7"/>
        <v>855.10420488460113</v>
      </c>
      <c r="BA9" s="36">
        <f>AVERAGE(AQ9:AZ9)</f>
        <v>856.38973759333453</v>
      </c>
      <c r="BB9" s="36">
        <f>AZ9</f>
        <v>855.10420488460113</v>
      </c>
    </row>
    <row r="11" spans="1:54" ht="21.75" thickBot="1" x14ac:dyDescent="0.4">
      <c r="A11" s="1" t="s">
        <v>314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6.25" thickTop="1" x14ac:dyDescent="0.2">
      <c r="A12" s="14"/>
      <c r="B12" s="69"/>
      <c r="C12" s="70"/>
      <c r="D12" s="70"/>
      <c r="E12" s="70"/>
      <c r="F12" s="70"/>
      <c r="G12" s="70"/>
      <c r="H12" s="70"/>
      <c r="I12" s="70"/>
      <c r="J12" s="70"/>
      <c r="K12" s="71"/>
      <c r="L12" s="15" t="s">
        <v>133</v>
      </c>
      <c r="M12" s="72" t="s">
        <v>134</v>
      </c>
      <c r="N12" s="73"/>
      <c r="O12" s="73"/>
      <c r="P12" s="73"/>
      <c r="Q12" s="73"/>
      <c r="R12" s="73"/>
      <c r="S12" s="74"/>
      <c r="T12" s="16" t="s">
        <v>135</v>
      </c>
      <c r="U12" s="75" t="s">
        <v>136</v>
      </c>
      <c r="V12" s="76"/>
      <c r="W12" s="76"/>
      <c r="X12" s="76"/>
      <c r="Y12" s="76"/>
      <c r="Z12" s="76"/>
      <c r="AA12" s="76"/>
      <c r="AB12" s="76"/>
      <c r="AC12" s="76"/>
      <c r="AD12" s="77"/>
      <c r="AE12" s="78" t="s">
        <v>137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80"/>
      <c r="AQ12" s="81" t="s">
        <v>138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3"/>
    </row>
    <row r="13" spans="1:54" ht="114.75" customHeight="1" x14ac:dyDescent="0.2">
      <c r="A13" s="18" t="s">
        <v>139</v>
      </c>
      <c r="B13" s="19" t="s">
        <v>140</v>
      </c>
      <c r="C13" s="19" t="s">
        <v>141</v>
      </c>
      <c r="D13" s="19" t="s">
        <v>142</v>
      </c>
      <c r="E13" s="19" t="s">
        <v>143</v>
      </c>
      <c r="F13" s="19" t="s">
        <v>144</v>
      </c>
      <c r="G13" s="19" t="s">
        <v>145</v>
      </c>
      <c r="H13" s="19" t="s">
        <v>146</v>
      </c>
      <c r="I13" s="19" t="s">
        <v>147</v>
      </c>
      <c r="J13" s="19" t="s">
        <v>148</v>
      </c>
      <c r="K13" s="19" t="s">
        <v>149</v>
      </c>
      <c r="L13" s="20" t="s">
        <v>150</v>
      </c>
      <c r="M13" s="21" t="s">
        <v>151</v>
      </c>
      <c r="N13" s="21" t="s">
        <v>239</v>
      </c>
      <c r="O13" s="21" t="s">
        <v>152</v>
      </c>
      <c r="P13" s="21" t="s">
        <v>143</v>
      </c>
      <c r="Q13" s="21" t="s">
        <v>147</v>
      </c>
      <c r="R13" s="21" t="s">
        <v>153</v>
      </c>
      <c r="S13" s="21" t="s">
        <v>240</v>
      </c>
      <c r="T13" s="22" t="s">
        <v>154</v>
      </c>
      <c r="U13" s="23" t="s">
        <v>155</v>
      </c>
      <c r="V13" s="23" t="s">
        <v>156</v>
      </c>
      <c r="W13" s="23" t="s">
        <v>157</v>
      </c>
      <c r="X13" s="23" t="s">
        <v>158</v>
      </c>
      <c r="Y13" s="23" t="s">
        <v>159</v>
      </c>
      <c r="Z13" s="23" t="s">
        <v>160</v>
      </c>
      <c r="AA13" s="23" t="s">
        <v>161</v>
      </c>
      <c r="AB13" s="23" t="s">
        <v>162</v>
      </c>
      <c r="AC13" s="23" t="s">
        <v>163</v>
      </c>
      <c r="AD13" s="23" t="s">
        <v>164</v>
      </c>
      <c r="AE13" s="24" t="s">
        <v>165</v>
      </c>
      <c r="AF13" s="24" t="s">
        <v>166</v>
      </c>
      <c r="AG13" s="24" t="s">
        <v>167</v>
      </c>
      <c r="AH13" s="24" t="s">
        <v>168</v>
      </c>
      <c r="AI13" s="24" t="s">
        <v>169</v>
      </c>
      <c r="AJ13" s="24" t="s">
        <v>170</v>
      </c>
      <c r="AK13" s="24" t="s">
        <v>171</v>
      </c>
      <c r="AL13" s="24" t="s">
        <v>172</v>
      </c>
      <c r="AM13" s="24" t="s">
        <v>173</v>
      </c>
      <c r="AN13" s="24" t="s">
        <v>174</v>
      </c>
      <c r="AO13" s="24" t="s">
        <v>175</v>
      </c>
      <c r="AP13" s="25" t="s">
        <v>176</v>
      </c>
      <c r="AQ13" s="26">
        <v>2020</v>
      </c>
      <c r="AR13" s="26">
        <v>2021</v>
      </c>
      <c r="AS13" s="26">
        <v>2022</v>
      </c>
      <c r="AT13" s="26">
        <v>2023</v>
      </c>
      <c r="AU13" s="26">
        <v>2024</v>
      </c>
      <c r="AV13" s="26">
        <v>2025</v>
      </c>
      <c r="AW13" s="26">
        <v>2026</v>
      </c>
      <c r="AX13" s="26">
        <v>2027</v>
      </c>
      <c r="AY13" s="26">
        <v>2028</v>
      </c>
      <c r="AZ13" s="26">
        <v>2029</v>
      </c>
      <c r="BA13" s="27" t="s">
        <v>177</v>
      </c>
      <c r="BB13" s="27" t="s">
        <v>178</v>
      </c>
    </row>
    <row r="14" spans="1:54" x14ac:dyDescent="0.2">
      <c r="A14" s="28" t="s">
        <v>179</v>
      </c>
      <c r="B14" s="29">
        <f>SUMIFS(tPREGUs[CO2 (MT)], tPREGUs[Include?],"Y",tPREGUs[Fuel],"Coal")*cMT2LB/F14</f>
        <v>2215.5639697090478</v>
      </c>
      <c r="C14" s="29">
        <f>SUMIFS(tPREGUs[CO2 (MT)],tPREGUs[Include?],"Y",tPREGUs[Fuel],"NG",tPREGUs[Prime mover],"CC")*cMT2LB/G14</f>
        <v>927.99376193073351</v>
      </c>
      <c r="D14" s="29">
        <f>SUMIFS(tPREGUs[CO2 (MT)],tPREGUs[Include?],"Y",tPREGUs[Fuel],"&lt;&gt;Coal", tPREGUs[Prime mover],"ST")*cMT2LB/H14</f>
        <v>1792.9453454305308</v>
      </c>
      <c r="E14" s="29">
        <v>0</v>
      </c>
      <c r="F14" s="29">
        <f>SUMIFS(tPREGUs[Net Generation (MWh)], tPREGUs[Include?],"Y",tPREGUs[Fuel],"Coal")</f>
        <v>3417319.9074880593</v>
      </c>
      <c r="G14" s="29">
        <f>SUMIFS(tPREGUs[Net Generation (MWh)],tPREGUs[Include?],"Y",tPREGUs[Fuel],"NG",tPREGUs[Prime mover],"CC")</f>
        <v>3802792.7985828486</v>
      </c>
      <c r="H14" s="29">
        <f>SUMIFS(tPREGUs[Net Generation (MWh)],tPREGUs[Include?],"Y",tPREGUs[Fuel],"&lt;&gt;Coal", tPREGUs[Prime mover],"ST")</f>
        <v>12763391.454358565</v>
      </c>
      <c r="I14" s="29">
        <v>0</v>
      </c>
      <c r="J14" s="29">
        <f>SUMIFS(tPREGUs[Capacity (MW)],tPREGUs[Include?],"Y",tPREGUs[Fuel],"NG",tPREGUs[Prime mover],"CC")</f>
        <v>1080</v>
      </c>
      <c r="K14" s="29">
        <v>0</v>
      </c>
      <c r="L14" s="30">
        <f>B14*0.94+N("The .94 reflects a 6% HRI")</f>
        <v>2082.630131526505</v>
      </c>
      <c r="M14" s="31">
        <f t="shared" ref="M14:M15" si="9">MAX(F14-((O14-G14)*(F14/(F14+H14))), 0)</f>
        <v>2817961.1878736829</v>
      </c>
      <c r="N14" s="31">
        <f t="shared" ref="N14:N15" si="10">MAX(H14-((O14-G14)*(H14/(H14+F14))),0)</f>
        <v>10524838.97255579</v>
      </c>
      <c r="O14" s="31">
        <f>MIN((J14*cHours*cOpt1NGCC), SUM(F14:H14))</f>
        <v>6640704</v>
      </c>
      <c r="P14" s="31">
        <f>0.55*cHours*C14*K14+E14</f>
        <v>0</v>
      </c>
      <c r="Q14" s="31">
        <f>K14*cHours*0.55+I14</f>
        <v>0</v>
      </c>
      <c r="R14" s="32">
        <f>IF(J14=0, 0, G14/(cHours*J14))</f>
        <v>0.40085433095768069</v>
      </c>
      <c r="S14" s="32">
        <f>IF(J14=0,0,(O14-(0.15*cHours*K14))/(cHours*J14))</f>
        <v>0.7</v>
      </c>
      <c r="T14" s="33">
        <v>0</v>
      </c>
      <c r="U14" s="34">
        <v>101092.36598262208</v>
      </c>
      <c r="V14" s="34">
        <v>109847.2015994996</v>
      </c>
      <c r="W14" s="34">
        <v>119360.22648154601</v>
      </c>
      <c r="X14" s="34">
        <v>129697.10159453763</v>
      </c>
      <c r="Y14" s="34">
        <v>140929.17429764193</v>
      </c>
      <c r="Z14" s="34">
        <v>153133.97079840075</v>
      </c>
      <c r="AA14" s="34">
        <v>166395.73125546813</v>
      </c>
      <c r="AB14" s="34">
        <v>180805.99122249841</v>
      </c>
      <c r="AC14" s="34">
        <v>196464.21344643648</v>
      </c>
      <c r="AD14" s="34">
        <v>213478.47438101945</v>
      </c>
      <c r="AE14" s="37">
        <v>1.1536048E-2</v>
      </c>
      <c r="AF14" s="37">
        <v>1.8814460690792244E-2</v>
      </c>
      <c r="AG14" s="37">
        <v>2.758082181046604E-2</v>
      </c>
      <c r="AH14" s="37">
        <v>3.7687944233580475E-2</v>
      </c>
      <c r="AI14" s="37">
        <v>4.8984245818188561E-2</v>
      </c>
      <c r="AJ14" s="37">
        <v>6.0364342893702905E-2</v>
      </c>
      <c r="AK14" s="37">
        <v>7.0822936601888375E-2</v>
      </c>
      <c r="AL14" s="37">
        <v>8.0382833780419771E-2</v>
      </c>
      <c r="AM14" s="37">
        <v>8.9065771661748366E-2</v>
      </c>
      <c r="AN14" s="37">
        <v>9.6892451922578421E-2</v>
      </c>
      <c r="AO14" s="40">
        <v>1</v>
      </c>
      <c r="AP14" s="41">
        <f>cPRSales*(1+cTDLoss)</f>
        <v>19513419.783</v>
      </c>
      <c r="AQ14" s="35">
        <f t="shared" ref="AQ14:AZ15" si="11">(($L14*$M14)+($N14*$D14)+($C14*$O14)+$P14)/($M14+$N14+$O14+$Q14+$T14+U14+(MIN(AE14*$AP14,$AP14*$AO14*AE14)))</f>
        <v>1521.5270196461461</v>
      </c>
      <c r="AR14" s="35">
        <f t="shared" si="11"/>
        <v>1510.3142744476165</v>
      </c>
      <c r="AS14" s="35">
        <f t="shared" si="11"/>
        <v>1497.1015540721105</v>
      </c>
      <c r="AT14" s="35">
        <f t="shared" si="11"/>
        <v>1482.1969482877594</v>
      </c>
      <c r="AU14" s="35">
        <f t="shared" si="11"/>
        <v>1465.908360945275</v>
      </c>
      <c r="AV14" s="35">
        <f t="shared" si="11"/>
        <v>1449.7964825741369</v>
      </c>
      <c r="AW14" s="35">
        <f t="shared" si="11"/>
        <v>1435.1621213625067</v>
      </c>
      <c r="AX14" s="35">
        <f t="shared" si="11"/>
        <v>1421.891649747387</v>
      </c>
      <c r="AY14" s="35">
        <f t="shared" si="11"/>
        <v>1409.8841005145903</v>
      </c>
      <c r="AZ14" s="35">
        <f t="shared" si="11"/>
        <v>1399.0494160855496</v>
      </c>
      <c r="BA14" s="36">
        <f>AVERAGE(AQ14:AZ14)</f>
        <v>1459.2831927683078</v>
      </c>
      <c r="BB14" s="36">
        <f>AZ14</f>
        <v>1399.0494160855496</v>
      </c>
    </row>
    <row r="15" spans="1:54" x14ac:dyDescent="0.2">
      <c r="A15" s="28" t="s">
        <v>180</v>
      </c>
      <c r="B15" s="29">
        <v>0</v>
      </c>
      <c r="C15" s="29">
        <v>0</v>
      </c>
      <c r="D15" s="29">
        <f>SUMIF(tGuamEGUs[Include?],"Y",tGuamEGUs[CO2 (MT)])*cMT2LB/H15</f>
        <v>1947.8707626591574</v>
      </c>
      <c r="E15" s="29">
        <v>0</v>
      </c>
      <c r="F15" s="29">
        <v>0</v>
      </c>
      <c r="G15" s="29">
        <v>0</v>
      </c>
      <c r="H15" s="29">
        <f>SUMIF(tGuamEGUs[Include?],"Y",tGuamEGUs[Net Generation (MWh)])</f>
        <v>713075.48660000018</v>
      </c>
      <c r="I15" s="29">
        <v>0</v>
      </c>
      <c r="J15" s="29">
        <v>0</v>
      </c>
      <c r="K15" s="29">
        <v>0</v>
      </c>
      <c r="L15" s="30">
        <f>B15*0.94+N("The .94 reflects a 6% HRI")</f>
        <v>0</v>
      </c>
      <c r="M15" s="31">
        <f t="shared" si="9"/>
        <v>0</v>
      </c>
      <c r="N15" s="31">
        <f t="shared" si="10"/>
        <v>713075.48660000018</v>
      </c>
      <c r="O15" s="31">
        <f>MIN((J15*cHours*cOpt1NGCC), SUM(F15:H15))</f>
        <v>0</v>
      </c>
      <c r="P15" s="31">
        <f>0.55*cHours*C15*K15+E15</f>
        <v>0</v>
      </c>
      <c r="Q15" s="31">
        <f>K15*cHours*0.55+I15</f>
        <v>0</v>
      </c>
      <c r="R15" s="32">
        <f>IF(J15=0, 0, G15/(cHours*J15))</f>
        <v>0</v>
      </c>
      <c r="S15" s="32">
        <f>IF(K15&gt;0,(O15-(0.15*8784*K15))/(8784*K15),0)</f>
        <v>0</v>
      </c>
      <c r="T15" s="33">
        <v>0</v>
      </c>
      <c r="U15" s="34">
        <v>7992.3591712234638</v>
      </c>
      <c r="V15" s="34">
        <v>8684.5161907469083</v>
      </c>
      <c r="W15" s="34">
        <v>9436.6156289494975</v>
      </c>
      <c r="X15" s="34">
        <v>10253.848639652917</v>
      </c>
      <c r="Y15" s="34">
        <v>11141.855942755668</v>
      </c>
      <c r="Z15" s="34">
        <v>12106.766757708045</v>
      </c>
      <c r="AA15" s="34">
        <v>13155.241108717215</v>
      </c>
      <c r="AB15" s="34">
        <v>14294.515793682122</v>
      </c>
      <c r="AC15" s="34">
        <v>15532.454334145794</v>
      </c>
      <c r="AD15" s="34">
        <v>16877.60125103049</v>
      </c>
      <c r="AE15" s="37">
        <v>1.1536048E-2</v>
      </c>
      <c r="AF15" s="37">
        <v>1.8814460690792244E-2</v>
      </c>
      <c r="AG15" s="37">
        <v>2.758082181046604E-2</v>
      </c>
      <c r="AH15" s="37">
        <v>3.7687944233580475E-2</v>
      </c>
      <c r="AI15" s="37">
        <v>4.8984245818188568E-2</v>
      </c>
      <c r="AJ15" s="37">
        <v>6.0364342893702905E-2</v>
      </c>
      <c r="AK15" s="37">
        <v>7.0822936601888362E-2</v>
      </c>
      <c r="AL15" s="37">
        <v>8.0382833780419743E-2</v>
      </c>
      <c r="AM15" s="37">
        <v>8.9065771661748339E-2</v>
      </c>
      <c r="AN15" s="37">
        <v>9.6892451922578393E-2</v>
      </c>
      <c r="AO15" s="40">
        <v>1</v>
      </c>
      <c r="AP15" s="41">
        <f>cGuamSales*(1+cTDLoss)</f>
        <v>1680891.9724999999</v>
      </c>
      <c r="AQ15" s="35">
        <f t="shared" si="11"/>
        <v>1875.8357474275479</v>
      </c>
      <c r="AR15" s="35">
        <f t="shared" si="11"/>
        <v>1843.6506524038616</v>
      </c>
      <c r="AS15" s="35">
        <f t="shared" si="11"/>
        <v>1806.5139804724097</v>
      </c>
      <c r="AT15" s="35">
        <f t="shared" si="11"/>
        <v>1765.62412985438</v>
      </c>
      <c r="AU15" s="35">
        <f t="shared" si="11"/>
        <v>1722.1139732168954</v>
      </c>
      <c r="AV15" s="35">
        <f>(($L15*$M15)+($N15*$D15)+($C15*$O15)+$P15)/($M15+$N15+$O15+$Q15+$T15+Z15+(MIN(AJ15*$AP15,$AP15*$AO15*AJ15)))</f>
        <v>1680.2539509478656</v>
      </c>
      <c r="AW15" s="35">
        <f t="shared" si="11"/>
        <v>1643.2244378033972</v>
      </c>
      <c r="AX15" s="35">
        <f t="shared" si="11"/>
        <v>1610.4385739787053</v>
      </c>
      <c r="AY15" s="35">
        <f t="shared" si="11"/>
        <v>1581.4079629962448</v>
      </c>
      <c r="AZ15" s="35">
        <f t="shared" si="11"/>
        <v>1555.7231113208036</v>
      </c>
      <c r="BA15" s="36">
        <f t="shared" ref="BA15" si="12">AVERAGE(AQ15:AZ15)</f>
        <v>1708.4786520422113</v>
      </c>
      <c r="BB15" s="36">
        <f t="shared" ref="BB15" si="13">AZ15</f>
        <v>1555.7231113208036</v>
      </c>
    </row>
    <row r="17" spans="1:54" ht="21.75" thickBot="1" x14ac:dyDescent="0.4">
      <c r="A17" s="1" t="s">
        <v>315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26.25" thickTop="1" x14ac:dyDescent="0.2">
      <c r="A18" s="14"/>
      <c r="B18" s="69"/>
      <c r="C18" s="70"/>
      <c r="D18" s="70"/>
      <c r="E18" s="70"/>
      <c r="F18" s="70"/>
      <c r="G18" s="70"/>
      <c r="H18" s="70"/>
      <c r="I18" s="70"/>
      <c r="J18" s="70"/>
      <c r="K18" s="71"/>
      <c r="L18" s="15" t="s">
        <v>133</v>
      </c>
      <c r="M18" s="72" t="s">
        <v>134</v>
      </c>
      <c r="N18" s="73"/>
      <c r="O18" s="73"/>
      <c r="P18" s="73"/>
      <c r="Q18" s="73"/>
      <c r="R18" s="73"/>
      <c r="S18" s="74"/>
      <c r="T18" s="16" t="s">
        <v>135</v>
      </c>
      <c r="U18" s="75" t="s">
        <v>136</v>
      </c>
      <c r="V18" s="76"/>
      <c r="W18" s="76"/>
      <c r="X18" s="76"/>
      <c r="Y18" s="76"/>
      <c r="Z18" s="76"/>
      <c r="AA18" s="76"/>
      <c r="AB18" s="76"/>
      <c r="AC18" s="76"/>
      <c r="AD18" s="77"/>
      <c r="AE18" s="78" t="s">
        <v>137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80"/>
      <c r="AQ18" s="81" t="s">
        <v>138</v>
      </c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3"/>
    </row>
    <row r="19" spans="1:54" ht="114.75" customHeight="1" x14ac:dyDescent="0.2">
      <c r="A19" s="18" t="s">
        <v>139</v>
      </c>
      <c r="B19" s="19" t="s">
        <v>140</v>
      </c>
      <c r="C19" s="19" t="s">
        <v>141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  <c r="I19" s="19" t="s">
        <v>147</v>
      </c>
      <c r="J19" s="19" t="s">
        <v>148</v>
      </c>
      <c r="K19" s="19" t="s">
        <v>149</v>
      </c>
      <c r="L19" s="20" t="s">
        <v>150</v>
      </c>
      <c r="M19" s="21" t="s">
        <v>151</v>
      </c>
      <c r="N19" s="21" t="s">
        <v>239</v>
      </c>
      <c r="O19" s="21" t="s">
        <v>152</v>
      </c>
      <c r="P19" s="21" t="s">
        <v>143</v>
      </c>
      <c r="Q19" s="21" t="s">
        <v>147</v>
      </c>
      <c r="R19" s="21" t="s">
        <v>153</v>
      </c>
      <c r="S19" s="21" t="s">
        <v>240</v>
      </c>
      <c r="T19" s="22" t="s">
        <v>154</v>
      </c>
      <c r="U19" s="23" t="s">
        <v>155</v>
      </c>
      <c r="V19" s="23" t="s">
        <v>156</v>
      </c>
      <c r="W19" s="23" t="s">
        <v>157</v>
      </c>
      <c r="X19" s="23" t="s">
        <v>158</v>
      </c>
      <c r="Y19" s="23" t="s">
        <v>159</v>
      </c>
      <c r="Z19" s="23" t="s">
        <v>160</v>
      </c>
      <c r="AA19" s="23" t="s">
        <v>161</v>
      </c>
      <c r="AB19" s="23" t="s">
        <v>162</v>
      </c>
      <c r="AC19" s="23" t="s">
        <v>163</v>
      </c>
      <c r="AD19" s="23" t="s">
        <v>164</v>
      </c>
      <c r="AE19" s="24" t="s">
        <v>165</v>
      </c>
      <c r="AF19" s="24" t="s">
        <v>166</v>
      </c>
      <c r="AG19" s="24" t="s">
        <v>167</v>
      </c>
      <c r="AH19" s="24" t="s">
        <v>168</v>
      </c>
      <c r="AI19" s="24" t="s">
        <v>169</v>
      </c>
      <c r="AJ19" s="24" t="s">
        <v>170</v>
      </c>
      <c r="AK19" s="24" t="s">
        <v>171</v>
      </c>
      <c r="AL19" s="24" t="s">
        <v>172</v>
      </c>
      <c r="AM19" s="24" t="s">
        <v>173</v>
      </c>
      <c r="AN19" s="24" t="s">
        <v>174</v>
      </c>
      <c r="AO19" s="24" t="s">
        <v>175</v>
      </c>
      <c r="AP19" s="25" t="s">
        <v>176</v>
      </c>
      <c r="AQ19" s="26">
        <v>2020</v>
      </c>
      <c r="AR19" s="26">
        <v>2021</v>
      </c>
      <c r="AS19" s="26">
        <v>2022</v>
      </c>
      <c r="AT19" s="26">
        <v>2023</v>
      </c>
      <c r="AU19" s="26">
        <v>2024</v>
      </c>
      <c r="AV19" s="26">
        <v>2025</v>
      </c>
      <c r="AW19" s="26">
        <v>2026</v>
      </c>
      <c r="AX19" s="26">
        <v>2027</v>
      </c>
      <c r="AY19" s="26">
        <v>2028</v>
      </c>
      <c r="AZ19" s="26">
        <v>2029</v>
      </c>
      <c r="BA19" s="27" t="s">
        <v>177</v>
      </c>
      <c r="BB19" s="27" t="s">
        <v>178</v>
      </c>
    </row>
    <row r="20" spans="1:54" x14ac:dyDescent="0.2">
      <c r="A20" s="28" t="s">
        <v>179</v>
      </c>
      <c r="B20" s="29">
        <f>SUMIFS(tPREGUs[CO2 (MT)], tPREGUs[Include?],"Y",tPREGUs[Fuel],"Coal")*cMT2LB/F20</f>
        <v>2215.5639697090478</v>
      </c>
      <c r="C20" s="29">
        <f>SUMIFS(tPREGUs[CO2 (MT)],tPREGUs[Include?],"Y",tPREGUs[Fuel],"NG",tPREGUs[Prime mover],"CC")*cMT2LB/G20</f>
        <v>927.99376193073351</v>
      </c>
      <c r="D20" s="29">
        <f>SUMIFS(tPREGUs[CO2 (MT)],tPREGUs[Include?],"Y",tPREGUs[Fuel],"&lt;&gt;Coal", tPREGUs[Prime mover],"ST")*cMT2LB/H20</f>
        <v>1792.9453454305308</v>
      </c>
      <c r="E20" s="29">
        <v>0</v>
      </c>
      <c r="F20" s="29">
        <f>SUMIFS(tPREGUs[Net Generation (MWh)], tPREGUs[Include?],"Y",tPREGUs[Fuel],"Coal")</f>
        <v>3417319.9074880593</v>
      </c>
      <c r="G20" s="29">
        <f>SUMIFS(tPREGUs[Net Generation (MWh)],tPREGUs[Include?],"Y",tPREGUs[Fuel],"NG",tPREGUs[Prime mover],"CC")</f>
        <v>3802792.7985828486</v>
      </c>
      <c r="H20" s="29">
        <f>SUMIFS(tPREGUs[Net Generation (MWh)],tPREGUs[Include?],"Y",tPREGUs[Fuel],"&lt;&gt;Coal", tPREGUs[Prime mover],"ST")</f>
        <v>12763391.454358565</v>
      </c>
      <c r="I20" s="29">
        <v>0</v>
      </c>
      <c r="J20" s="29">
        <f>SUMIFS(tPREGUs[Capacity (MW)],tPREGUs[Include?],"Y",tPREGUs[Fuel],"NG",tPREGUs[Prime mover],"CC")</f>
        <v>1080</v>
      </c>
      <c r="K20" s="29">
        <v>0</v>
      </c>
      <c r="L20" s="30">
        <f>B20*0.94+N("The .94 reflects a 6% HRI")</f>
        <v>2082.630131526505</v>
      </c>
      <c r="M20" s="31">
        <f t="shared" ref="M20" si="14">MAX(F20-((O20-G20)*(F20/(F20+H20))), 0)</f>
        <v>2817961.1878736829</v>
      </c>
      <c r="N20" s="31">
        <f t="shared" ref="N20" si="15">MAX(H20-((O20-G20)*(H20/(H20+F20))),0)</f>
        <v>10524838.97255579</v>
      </c>
      <c r="O20" s="31">
        <f>MIN((J20*cHours*cOpt1NGCC), SUM(F20:H20))</f>
        <v>6640704</v>
      </c>
      <c r="P20" s="31">
        <f>0.55*cHours*C20*K20+E20</f>
        <v>0</v>
      </c>
      <c r="Q20" s="31">
        <f>K20*cHours*0.55+I20</f>
        <v>0</v>
      </c>
      <c r="R20" s="32">
        <f>IF(J20=0, 0, G20/(cHours*J20))</f>
        <v>0.40085433095768069</v>
      </c>
      <c r="S20" s="32">
        <f>IF(J20=0,0,(O20-(0.15*cHours*K20))/(cHours*J20))</f>
        <v>0.7</v>
      </c>
      <c r="T20" s="33">
        <v>0</v>
      </c>
      <c r="U20" s="34">
        <v>249220</v>
      </c>
      <c r="V20" s="34">
        <v>249220</v>
      </c>
      <c r="W20" s="34">
        <v>249220</v>
      </c>
      <c r="X20" s="34">
        <v>249220</v>
      </c>
      <c r="Y20" s="34">
        <v>249220</v>
      </c>
      <c r="Z20" s="34">
        <v>249220</v>
      </c>
      <c r="AA20" s="34">
        <v>249220</v>
      </c>
      <c r="AB20" s="34">
        <v>249220</v>
      </c>
      <c r="AC20" s="34">
        <v>249220</v>
      </c>
      <c r="AD20" s="34">
        <v>249220</v>
      </c>
      <c r="AE20" s="37">
        <v>1.1536048E-2</v>
      </c>
      <c r="AF20" s="37">
        <v>1.8814460690792244E-2</v>
      </c>
      <c r="AG20" s="37">
        <v>2.758082181046604E-2</v>
      </c>
      <c r="AH20" s="37">
        <v>3.7687944233580475E-2</v>
      </c>
      <c r="AI20" s="37">
        <v>4.8984245818188561E-2</v>
      </c>
      <c r="AJ20" s="37">
        <v>6.0364342893702905E-2</v>
      </c>
      <c r="AK20" s="37">
        <v>7.0822936601888375E-2</v>
      </c>
      <c r="AL20" s="37">
        <v>8.0382833780419771E-2</v>
      </c>
      <c r="AM20" s="37">
        <v>8.9065771661748366E-2</v>
      </c>
      <c r="AN20" s="37">
        <v>9.6892451922578421E-2</v>
      </c>
      <c r="AO20" s="40">
        <v>1</v>
      </c>
      <c r="AP20" s="41">
        <f>cPRSales*(1+cTDLoss)</f>
        <v>19513419.783</v>
      </c>
      <c r="AQ20" s="35">
        <f t="shared" ref="AQ20:AZ20" si="16">(($L20*$M20)+($N20*$D20)+($C20*$O20)+$P20)/($M20+$N20+$O20+$Q20+$T20+U20+(MIN(AE20*$AP20,$AP20*$AO20*AE20)))</f>
        <v>1510.5102022956735</v>
      </c>
      <c r="AR20" s="35">
        <f t="shared" si="16"/>
        <v>1500.0959166095358</v>
      </c>
      <c r="AS20" s="35">
        <f t="shared" si="16"/>
        <v>1487.7416766182762</v>
      </c>
      <c r="AT20" s="35">
        <f t="shared" si="16"/>
        <v>1473.7481095066416</v>
      </c>
      <c r="AU20" s="35">
        <f t="shared" si="16"/>
        <v>1458.4163784987686</v>
      </c>
      <c r="AV20" s="35">
        <f t="shared" si="16"/>
        <v>1443.2901289963463</v>
      </c>
      <c r="AW20" s="35">
        <f t="shared" si="16"/>
        <v>1429.6628022390748</v>
      </c>
      <c r="AX20" s="35">
        <f t="shared" si="16"/>
        <v>1417.4296474828964</v>
      </c>
      <c r="AY20" s="35">
        <f t="shared" si="16"/>
        <v>1406.4987036876093</v>
      </c>
      <c r="AZ20" s="35">
        <f t="shared" si="16"/>
        <v>1396.7891803641421</v>
      </c>
      <c r="BA20" s="36">
        <f>AVERAGE(AQ20:AZ20)</f>
        <v>1452.4182746298964</v>
      </c>
      <c r="BB20" s="36">
        <f>AZ20</f>
        <v>1396.7891803641421</v>
      </c>
    </row>
  </sheetData>
  <mergeCells count="15">
    <mergeCell ref="B12:K12"/>
    <mergeCell ref="M12:S12"/>
    <mergeCell ref="U12:AD12"/>
    <mergeCell ref="AE12:AP12"/>
    <mergeCell ref="AQ12:BB12"/>
    <mergeCell ref="B2:K2"/>
    <mergeCell ref="M2:S2"/>
    <mergeCell ref="U2:AD2"/>
    <mergeCell ref="AE2:AP2"/>
    <mergeCell ref="AQ2:BB2"/>
    <mergeCell ref="B18:K18"/>
    <mergeCell ref="M18:S18"/>
    <mergeCell ref="U18:AD18"/>
    <mergeCell ref="AE18:AP18"/>
    <mergeCell ref="AQ18:B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M15"/>
  <sheetViews>
    <sheetView workbookViewId="0">
      <pane xSplit="1" topLeftCell="B1" activePane="topRight" state="frozen"/>
      <selection activeCell="A4" sqref="A4"/>
      <selection pane="topRight"/>
    </sheetView>
  </sheetViews>
  <sheetFormatPr defaultRowHeight="12.75" x14ac:dyDescent="0.2"/>
  <cols>
    <col min="1" max="1" width="13.140625" style="17" customWidth="1"/>
    <col min="2" max="3" width="9.28515625" style="17" bestFit="1" customWidth="1"/>
    <col min="4" max="4" width="9.85546875" style="17" bestFit="1" customWidth="1"/>
    <col min="5" max="5" width="9.28515625" style="17" bestFit="1" customWidth="1"/>
    <col min="6" max="6" width="9.85546875" style="17" bestFit="1" customWidth="1"/>
    <col min="7" max="7" width="9.28515625" style="17" bestFit="1" customWidth="1"/>
    <col min="8" max="8" width="9.85546875" style="17" bestFit="1" customWidth="1"/>
    <col min="9" max="10" width="9.28515625" style="17" bestFit="1" customWidth="1"/>
    <col min="11" max="11" width="10.85546875" style="17" customWidth="1"/>
    <col min="12" max="12" width="9.28515625" style="17" bestFit="1" customWidth="1"/>
    <col min="13" max="13" width="11.85546875" style="17" customWidth="1"/>
    <col min="14" max="14" width="12" style="17" customWidth="1"/>
    <col min="15" max="15" width="11.5703125" style="17" customWidth="1"/>
    <col min="16" max="18" width="9.28515625" style="17" bestFit="1" customWidth="1"/>
    <col min="19" max="19" width="11.28515625" style="17" customWidth="1"/>
    <col min="20" max="20" width="13" style="17" customWidth="1"/>
    <col min="21" max="25" width="10.7109375" style="17" customWidth="1"/>
    <col min="26" max="30" width="9.28515625" style="17" bestFit="1" customWidth="1"/>
    <col min="31" max="31" width="12.28515625" style="17" bestFit="1" customWidth="1"/>
    <col min="32" max="32" width="9.85546875" style="17" bestFit="1" customWidth="1"/>
    <col min="33" max="39" width="9.28515625" style="17" bestFit="1" customWidth="1"/>
    <col min="40" max="16384" width="9.140625" style="17"/>
  </cols>
  <sheetData>
    <row r="1" spans="1:39" ht="21.75" thickBot="1" x14ac:dyDescent="0.4">
      <c r="A1" s="1" t="s">
        <v>316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6.25" thickTop="1" x14ac:dyDescent="0.2">
      <c r="A2" s="14"/>
      <c r="B2" s="69"/>
      <c r="C2" s="70"/>
      <c r="D2" s="70"/>
      <c r="E2" s="70"/>
      <c r="F2" s="70"/>
      <c r="G2" s="70"/>
      <c r="H2" s="70"/>
      <c r="I2" s="70"/>
      <c r="J2" s="70"/>
      <c r="K2" s="71"/>
      <c r="L2" s="15" t="s">
        <v>133</v>
      </c>
      <c r="M2" s="72" t="s">
        <v>134</v>
      </c>
      <c r="N2" s="73"/>
      <c r="O2" s="73"/>
      <c r="P2" s="73"/>
      <c r="Q2" s="73"/>
      <c r="R2" s="73"/>
      <c r="S2" s="74"/>
      <c r="T2" s="16" t="s">
        <v>135</v>
      </c>
      <c r="U2" s="75" t="s">
        <v>136</v>
      </c>
      <c r="V2" s="76"/>
      <c r="W2" s="76"/>
      <c r="X2" s="76"/>
      <c r="Y2" s="76"/>
      <c r="Z2" s="78" t="s">
        <v>137</v>
      </c>
      <c r="AA2" s="79"/>
      <c r="AB2" s="79"/>
      <c r="AC2" s="79"/>
      <c r="AD2" s="79"/>
      <c r="AE2" s="79"/>
      <c r="AF2" s="80"/>
      <c r="AG2" s="81" t="s">
        <v>138</v>
      </c>
      <c r="AH2" s="82"/>
      <c r="AI2" s="82"/>
      <c r="AJ2" s="82"/>
      <c r="AK2" s="82"/>
      <c r="AL2" s="82"/>
      <c r="AM2" s="83"/>
    </row>
    <row r="3" spans="1:39" ht="89.25" x14ac:dyDescent="0.2">
      <c r="A3" s="18" t="s">
        <v>139</v>
      </c>
      <c r="B3" s="19" t="s">
        <v>140</v>
      </c>
      <c r="C3" s="19" t="s">
        <v>141</v>
      </c>
      <c r="D3" s="19" t="s">
        <v>142</v>
      </c>
      <c r="E3" s="19" t="s">
        <v>143</v>
      </c>
      <c r="F3" s="19" t="s">
        <v>144</v>
      </c>
      <c r="G3" s="19" t="s">
        <v>145</v>
      </c>
      <c r="H3" s="19" t="s">
        <v>146</v>
      </c>
      <c r="I3" s="19" t="s">
        <v>147</v>
      </c>
      <c r="J3" s="19" t="s">
        <v>148</v>
      </c>
      <c r="K3" s="19" t="s">
        <v>149</v>
      </c>
      <c r="L3" s="20" t="s">
        <v>150</v>
      </c>
      <c r="M3" s="21" t="s">
        <v>151</v>
      </c>
      <c r="N3" s="21" t="s">
        <v>239</v>
      </c>
      <c r="O3" s="21" t="s">
        <v>152</v>
      </c>
      <c r="P3" s="21" t="s">
        <v>143</v>
      </c>
      <c r="Q3" s="21" t="s">
        <v>147</v>
      </c>
      <c r="R3" s="21" t="s">
        <v>153</v>
      </c>
      <c r="S3" s="21" t="s">
        <v>240</v>
      </c>
      <c r="T3" s="22" t="s">
        <v>154</v>
      </c>
      <c r="U3" s="23" t="s">
        <v>155</v>
      </c>
      <c r="V3" s="23" t="s">
        <v>156</v>
      </c>
      <c r="W3" s="23" t="s">
        <v>157</v>
      </c>
      <c r="X3" s="23" t="s">
        <v>158</v>
      </c>
      <c r="Y3" s="23" t="s">
        <v>159</v>
      </c>
      <c r="Z3" s="24" t="s">
        <v>165</v>
      </c>
      <c r="AA3" s="24" t="s">
        <v>166</v>
      </c>
      <c r="AB3" s="24" t="s">
        <v>167</v>
      </c>
      <c r="AC3" s="24" t="s">
        <v>168</v>
      </c>
      <c r="AD3" s="24" t="s">
        <v>169</v>
      </c>
      <c r="AE3" s="24" t="s">
        <v>175</v>
      </c>
      <c r="AF3" s="25" t="s">
        <v>176</v>
      </c>
      <c r="AG3" s="26">
        <v>2020</v>
      </c>
      <c r="AH3" s="26">
        <v>2021</v>
      </c>
      <c r="AI3" s="26">
        <v>2022</v>
      </c>
      <c r="AJ3" s="26">
        <v>2023</v>
      </c>
      <c r="AK3" s="26">
        <v>2024</v>
      </c>
      <c r="AL3" s="27" t="s">
        <v>241</v>
      </c>
      <c r="AM3" s="27" t="s">
        <v>242</v>
      </c>
    </row>
    <row r="4" spans="1:39" x14ac:dyDescent="0.2">
      <c r="A4" s="28" t="s">
        <v>179</v>
      </c>
      <c r="B4" s="29">
        <f>SUMIFS(tPREGUs[CO2 (MT)], tPREGUs[Include?],"Y",tPREGUs[Fuel],"Coal")*cMT2LB/F4</f>
        <v>2215.5639697090478</v>
      </c>
      <c r="C4" s="29">
        <f>SUMIFS(tPREGUs[CO2 (MT)],tPREGUs[Include?],"Y",tPREGUs[Fuel],"NG",tPREGUs[Prime mover],"CC")*cMT2LB/G4</f>
        <v>927.99376193073351</v>
      </c>
      <c r="D4" s="29">
        <f>SUMIFS(tPREGUs[CO2 (MT)],tPREGUs[Include?],"Y",tPREGUs[Fuel],"&lt;&gt;Coal", tPREGUs[Prime mover],"ST")*cMT2LB/H4</f>
        <v>1792.9453454305308</v>
      </c>
      <c r="E4" s="29">
        <v>0</v>
      </c>
      <c r="F4" s="29">
        <f>SUMIFS(tPREGUs[Net Generation (MWh)], tPREGUs[Include?],"Y",tPREGUs[Fuel],"Coal")</f>
        <v>3417319.9074880593</v>
      </c>
      <c r="G4" s="29">
        <f>SUMIFS(tPREGUs[Net Generation (MWh)],tPREGUs[Include?],"Y",tPREGUs[Fuel],"NG",tPREGUs[Prime mover],"CC")</f>
        <v>3802792.7985828486</v>
      </c>
      <c r="H4" s="29">
        <f>SUMIFS(tPREGUs[Net Generation (MWh)],tPREGUs[Include?],"Y",tPREGUs[Fuel],"&lt;&gt;Coal", tPREGUs[Prime mover],"ST")</f>
        <v>12763391.454358565</v>
      </c>
      <c r="I4" s="29">
        <v>0</v>
      </c>
      <c r="J4" s="29">
        <f>SUMIFS(tPREGUs[Capacity (MW)],tPREGUs[Include?],"Y",tPREGUs[Fuel],"NG",tPREGUs[Prime mover],"CC")</f>
        <v>1080</v>
      </c>
      <c r="K4" s="29">
        <v>0</v>
      </c>
      <c r="L4" s="30">
        <f>B4*0.96+N("The .96 reflects a 4% HRI")</f>
        <v>2126.9414109206859</v>
      </c>
      <c r="M4" s="31">
        <f t="shared" ref="M4" si="0">MAX(F4-((O4-G4)*(F4/(F4+H4))), 0)</f>
        <v>2918139.5928516248</v>
      </c>
      <c r="N4" s="31">
        <f t="shared" ref="N4" si="1">MAX(H4-((O4-G4)*(H4/(H4+F4))),0)</f>
        <v>10898996.567577848</v>
      </c>
      <c r="O4" s="31">
        <f>MIN((J4*cHours*cOpt2NGCC), SUM(F4:H4))</f>
        <v>6166368</v>
      </c>
      <c r="P4" s="31">
        <f>0.55*cHours*C4*K4+E4</f>
        <v>0</v>
      </c>
      <c r="Q4" s="31">
        <f>K4*cHours*0.55+I4</f>
        <v>0</v>
      </c>
      <c r="R4" s="32">
        <f>IF(J4=0, 0, G4/(cHours*J4))</f>
        <v>0.40085433095768069</v>
      </c>
      <c r="S4" s="32">
        <f>IF(J4=0,0,(O4-(0.15*cHours*K4))/(cHours*J4))</f>
        <v>0.65</v>
      </c>
      <c r="T4" s="33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7">
        <v>8.6600728815789466E-3</v>
      </c>
      <c r="AA4" s="37">
        <v>1.4135711101491689E-2</v>
      </c>
      <c r="AB4" s="37">
        <v>2.074423721160585E-2</v>
      </c>
      <c r="AC4" s="37">
        <v>2.8382926063932591E-2</v>
      </c>
      <c r="AD4" s="37">
        <v>3.6460625797624699E-2</v>
      </c>
      <c r="AE4" s="40">
        <v>1</v>
      </c>
      <c r="AF4" s="41">
        <f>cPRSales*(1+cTDLoss)</f>
        <v>19513419.783</v>
      </c>
      <c r="AG4" s="35">
        <f t="shared" ref="AG4:AK5" si="2">(($L4*$M4)+($N4*$D4)+($C4*$O4)+$P4)/($M4+$N4+$O4+$Q4+$T4+U4+(MIN(Z4*$AF4,$AF4*$AE4*Z4)))</f>
        <v>1561.6117580856298</v>
      </c>
      <c r="AH4" s="35">
        <f t="shared" si="2"/>
        <v>1553.3757662744442</v>
      </c>
      <c r="AI4" s="35">
        <f t="shared" si="2"/>
        <v>1543.5507424803604</v>
      </c>
      <c r="AJ4" s="35">
        <f t="shared" si="2"/>
        <v>1532.3478886506084</v>
      </c>
      <c r="AK4" s="35">
        <f t="shared" si="2"/>
        <v>1520.6767414317944</v>
      </c>
      <c r="AL4" s="36">
        <f>AVERAGE(AG4:AK4)</f>
        <v>1542.3125793845675</v>
      </c>
      <c r="AM4" s="36">
        <f>AK4</f>
        <v>1520.6767414317944</v>
      </c>
    </row>
    <row r="5" spans="1:39" x14ac:dyDescent="0.2">
      <c r="A5" s="28" t="s">
        <v>180</v>
      </c>
      <c r="B5" s="29">
        <v>0</v>
      </c>
      <c r="C5" s="29">
        <v>0</v>
      </c>
      <c r="D5" s="29">
        <f>SUMIF(tGuamEGUs[Include?],"Y",tGuamEGUs[CO2 (MT)])*cMT2LB/H5</f>
        <v>1947.8707626591574</v>
      </c>
      <c r="E5" s="29">
        <v>0</v>
      </c>
      <c r="F5" s="29">
        <v>0</v>
      </c>
      <c r="G5" s="29">
        <v>0</v>
      </c>
      <c r="H5" s="29">
        <f>SUMIF(tGuamEGUs[Include?],"Y",tGuamEGUs[Net Generation (MWh)])</f>
        <v>713075.48660000018</v>
      </c>
      <c r="I5" s="29">
        <v>0</v>
      </c>
      <c r="J5" s="29">
        <v>0</v>
      </c>
      <c r="K5" s="29">
        <v>0</v>
      </c>
      <c r="L5" s="30">
        <f>B5*0.96+N("The .96 reflects a 4% HRI")</f>
        <v>0</v>
      </c>
      <c r="M5" s="31">
        <f t="shared" ref="M5" si="3">MAX(F5-((O5-G5)*(F5/(F5+H5))), 0)</f>
        <v>0</v>
      </c>
      <c r="N5" s="31">
        <f t="shared" ref="N5" si="4">MAX(H5-((O5-G5)*(H5/(H5+F5))),0)</f>
        <v>713075.48660000018</v>
      </c>
      <c r="O5" s="31">
        <f>MIN((J5*cHours*cOpt2NGCC), SUM(F5:H5))</f>
        <v>0</v>
      </c>
      <c r="P5" s="31">
        <f>0.55*cHours*C5*K5+E5</f>
        <v>0</v>
      </c>
      <c r="Q5" s="31">
        <f>K5*cHours*0.55+I5</f>
        <v>0</v>
      </c>
      <c r="R5" s="32">
        <f>IF(J5=0, 0, G5/(cHours*J5))</f>
        <v>0</v>
      </c>
      <c r="S5" s="32">
        <f>IF(K5&gt;0,(O5-(0.15*8784*K5))/(8784*K5),0)</f>
        <v>0</v>
      </c>
      <c r="T5" s="33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7">
        <v>8.6600728815789483E-3</v>
      </c>
      <c r="AA5" s="37">
        <v>1.4135711101491692E-2</v>
      </c>
      <c r="AB5" s="37">
        <v>2.074423721160585E-2</v>
      </c>
      <c r="AC5" s="37">
        <v>2.8382926063932595E-2</v>
      </c>
      <c r="AD5" s="37">
        <v>3.6460625797624699E-2</v>
      </c>
      <c r="AE5" s="40">
        <v>1</v>
      </c>
      <c r="AF5" s="41">
        <f>cGuamSales*(1+cTDLoss)</f>
        <v>1680891.9724999999</v>
      </c>
      <c r="AG5" s="35">
        <f t="shared" si="2"/>
        <v>1908.9026278541589</v>
      </c>
      <c r="AH5" s="35">
        <f t="shared" si="2"/>
        <v>1885.0581709092075</v>
      </c>
      <c r="AI5" s="35">
        <f t="shared" si="2"/>
        <v>1857.0619179920009</v>
      </c>
      <c r="AJ5" s="35">
        <f t="shared" si="2"/>
        <v>1825.7201443949641</v>
      </c>
      <c r="AK5" s="35">
        <f t="shared" si="2"/>
        <v>1793.7077792647669</v>
      </c>
      <c r="AL5" s="36">
        <f>AVERAGE(AG5:AK5)</f>
        <v>1854.0901280830199</v>
      </c>
      <c r="AM5" s="36">
        <f>AK5</f>
        <v>1793.7077792647669</v>
      </c>
    </row>
    <row r="7" spans="1:39" x14ac:dyDescent="0.2">
      <c r="A7" s="28" t="s">
        <v>181</v>
      </c>
      <c r="B7" s="29">
        <f>SUMIF(tTribalEGUs[State],A7, tTribalEGUs[Carbon Dioxide 
Emissions (Unadjusted)
(tons)])*2000/F7+N("The tribal CO2 is in short tons; multiplied by 2000 to convert to lbs")</f>
        <v>2120.6515416265024</v>
      </c>
      <c r="C7" s="29">
        <v>0</v>
      </c>
      <c r="D7" s="29">
        <v>0</v>
      </c>
      <c r="E7" s="29">
        <v>0</v>
      </c>
      <c r="F7" s="29">
        <f>SUMIF(tTribalEGUs[State],A7,tTribalEGUs[Net Energy Output (MWh)])</f>
        <v>29629453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0">
        <f>B7*0.96+N("The .96 reflects a 4% HRI")</f>
        <v>2035.8254799614422</v>
      </c>
      <c r="M7" s="31">
        <f t="shared" ref="M7:M8" si="5">MAX(F7-((O7-G7)*(F7/(F7+H7))), 0)</f>
        <v>29629453</v>
      </c>
      <c r="N7" s="31">
        <f t="shared" ref="N7:N8" si="6">MAX(H7-((O7-G7)*(H7/(H7+F7))),0)</f>
        <v>0</v>
      </c>
      <c r="O7" s="31">
        <f>MIN((J7*cHours*cOpt2NGCC), SUM(F7:H7))</f>
        <v>0</v>
      </c>
      <c r="P7" s="31">
        <f>0.55*cHours*C7*K7+E7</f>
        <v>0</v>
      </c>
      <c r="Q7" s="31">
        <f>K7*cHours*0.55+I7</f>
        <v>0</v>
      </c>
      <c r="R7" s="32">
        <f>IF(J7=0, 0, G7/(cHours*J7))</f>
        <v>0</v>
      </c>
      <c r="S7" s="32">
        <f>IF(J7=0,0,(O7-(0.15*8784*K7))/(8784*J7))</f>
        <v>0</v>
      </c>
      <c r="T7" s="33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7">
        <v>8.4792605833782925E-3</v>
      </c>
      <c r="AA7" s="37">
        <v>1.3786477087970223E-2</v>
      </c>
      <c r="AB7" s="37">
        <v>2.0155085415072747E-2</v>
      </c>
      <c r="AC7" s="37">
        <v>2.7475903782224774E-2</v>
      </c>
      <c r="AD7" s="37">
        <v>3.5159771809582907E-2</v>
      </c>
      <c r="AE7" s="40">
        <f>SUM(F7:I7)/AF7</f>
        <v>40.767969547601119</v>
      </c>
      <c r="AF7" s="41">
        <f>cNavajoSales*(1+cTDLoss)</f>
        <v>726782.65139999997</v>
      </c>
      <c r="AG7" s="35">
        <f t="shared" ref="AG7:AK9" si="7">(($L7*$M7)+($N7*$D7)+($C7*$O7)+$P7)/($M7+$N7+$O7+$Q7+$T7+U7+(MIN(Z7*$AF7,$AF7*$AE7*Z7)))</f>
        <v>2035.4021401353559</v>
      </c>
      <c r="AH7" s="35">
        <f t="shared" si="7"/>
        <v>2035.1372589511061</v>
      </c>
      <c r="AI7" s="35">
        <f t="shared" si="7"/>
        <v>2034.8194950869724</v>
      </c>
      <c r="AJ7" s="35">
        <f t="shared" si="7"/>
        <v>2034.4543429537221</v>
      </c>
      <c r="AK7" s="35">
        <f t="shared" si="7"/>
        <v>2034.0712233513855</v>
      </c>
      <c r="AL7" s="36">
        <f>AVERAGE(AG7:AK7)</f>
        <v>2034.7768920957085</v>
      </c>
      <c r="AM7" s="36">
        <f>AK7</f>
        <v>2034.0712233513855</v>
      </c>
    </row>
    <row r="8" spans="1:39" x14ac:dyDescent="0.2">
      <c r="A8" s="28" t="s">
        <v>182</v>
      </c>
      <c r="B8" s="29">
        <f>SUMIF(tTribalEGUs[State],A8, tTribalEGUs[Carbon Dioxide 
Emissions (Unadjusted)
(tons)])*2000/F8+N("The tribal CO2 is in short tons; multiplied by 2000 to convert to lbs")</f>
        <v>2144.7457524560473</v>
      </c>
      <c r="C8" s="29">
        <v>0</v>
      </c>
      <c r="D8" s="29">
        <v>0</v>
      </c>
      <c r="E8" s="29">
        <v>0</v>
      </c>
      <c r="F8" s="29">
        <f>SUMIF(tTribalEGUs[State],A8,tTribalEGUs[Net Energy Output (MWh)])</f>
        <v>3090433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30">
        <f>B8*0.96+N("The .96 reflects a 4% HRI")</f>
        <v>2058.9559223578053</v>
      </c>
      <c r="M8" s="31">
        <f t="shared" si="5"/>
        <v>3090433</v>
      </c>
      <c r="N8" s="31">
        <f t="shared" si="6"/>
        <v>0</v>
      </c>
      <c r="O8" s="31">
        <f>MIN((J8*cHours*cOpt2NGCC), SUM(F8:H8))</f>
        <v>0</v>
      </c>
      <c r="P8" s="31">
        <f>0.55*cHours*C8*K8+E8</f>
        <v>0</v>
      </c>
      <c r="Q8" s="31">
        <f>K8*cHours*0.55+I8</f>
        <v>0</v>
      </c>
      <c r="R8" s="32">
        <f>IF(J8=0, 0, G8/(cHours*J8))</f>
        <v>0</v>
      </c>
      <c r="S8" s="32">
        <f>IF(J8=0,0,(O8-(0.15*8784*K8))/(8784*J8))</f>
        <v>0</v>
      </c>
      <c r="T8" s="33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7">
        <v>8.5241796631988238E-3</v>
      </c>
      <c r="AA8" s="37">
        <v>1.3873039612643426E-2</v>
      </c>
      <c r="AB8" s="37">
        <v>2.0300788939367757E-2</v>
      </c>
      <c r="AC8" s="37">
        <v>2.7699730208821192E-2</v>
      </c>
      <c r="AD8" s="37">
        <v>3.5480078800976117E-2</v>
      </c>
      <c r="AE8" s="40">
        <f>SUM(F8:I8)/AF8</f>
        <v>6.5752914318297391</v>
      </c>
      <c r="AF8" s="41">
        <v>470007</v>
      </c>
      <c r="AG8" s="35">
        <f t="shared" si="7"/>
        <v>2056.2901566018281</v>
      </c>
      <c r="AH8" s="35">
        <f t="shared" si="7"/>
        <v>2054.6209300844521</v>
      </c>
      <c r="AI8" s="35">
        <f t="shared" si="7"/>
        <v>2052.6185946067617</v>
      </c>
      <c r="AJ8" s="35">
        <f t="shared" si="7"/>
        <v>2050.3185454233858</v>
      </c>
      <c r="AK8" s="35">
        <f t="shared" si="7"/>
        <v>2047.9054847113796</v>
      </c>
      <c r="AL8" s="36">
        <f t="shared" ref="AL8:AL9" si="8">AVERAGE(AG8:AK8)</f>
        <v>2052.3507422855614</v>
      </c>
      <c r="AM8" s="36">
        <f>AK8</f>
        <v>2047.9054847113796</v>
      </c>
    </row>
    <row r="9" spans="1:39" x14ac:dyDescent="0.2">
      <c r="A9" s="28" t="s">
        <v>183</v>
      </c>
      <c r="B9" s="29">
        <v>0</v>
      </c>
      <c r="C9" s="29">
        <f>SUMIF(tTribalEGUs[State],A9, tTribalEGUs[Carbon Dioxide 
Emissions (Unadjusted)
(tons)])*2000/G9+N("The tribal CO2 is in short tons; multiplied by 2000 to convert to lbs")</f>
        <v>858.0739538294863</v>
      </c>
      <c r="D9" s="29">
        <v>0</v>
      </c>
      <c r="E9" s="29">
        <v>0</v>
      </c>
      <c r="F9" s="29">
        <v>0</v>
      </c>
      <c r="G9" s="29">
        <f>SUMIF(tTribalEGUs[State],A9,tTribalEGUs[Net Energy Output (MWh)])</f>
        <v>1360092.9998999999</v>
      </c>
      <c r="H9" s="29">
        <v>0</v>
      </c>
      <c r="I9" s="29">
        <v>0</v>
      </c>
      <c r="J9" s="29">
        <f>SUMIF(tTribalEGUs[State],"Fort Mojave",tTribalEGUs[Nameplate 
Capacity 
(MW)])</f>
        <v>708</v>
      </c>
      <c r="K9" s="29">
        <v>0</v>
      </c>
      <c r="L9" s="30">
        <f>B9*0.96+N("The .96 reflects a 4% HRI")</f>
        <v>0</v>
      </c>
      <c r="M9" s="31">
        <v>0</v>
      </c>
      <c r="N9" s="31">
        <v>0</v>
      </c>
      <c r="O9" s="31">
        <f>MIN((J9*cHours*cOpt2NGCC), SUM(F9:H9))</f>
        <v>1360092.9998999999</v>
      </c>
      <c r="P9" s="31">
        <f>0.55*cHours*C9*K9+E9</f>
        <v>0</v>
      </c>
      <c r="Q9" s="31">
        <f>K9*cHours*0.55+I9</f>
        <v>0</v>
      </c>
      <c r="R9" s="32">
        <f>IF(J9=0, 0, G9/(cHours*J9))</f>
        <v>0.2186970982005032</v>
      </c>
      <c r="S9" s="32">
        <f>(O9-(0.15*8784*K9))/(8784*J9)</f>
        <v>0.2186970982005032</v>
      </c>
      <c r="T9" s="33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7">
        <v>8.4792605833782925E-3</v>
      </c>
      <c r="AA9" s="37">
        <v>1.3786477087970225E-2</v>
      </c>
      <c r="AB9" s="37">
        <v>2.015508541507275E-2</v>
      </c>
      <c r="AC9" s="37">
        <v>2.7475903782224777E-2</v>
      </c>
      <c r="AD9" s="37">
        <v>3.5159771809582914E-2</v>
      </c>
      <c r="AE9" s="40">
        <f>SUM(F9:I9)/AF9</f>
        <v>26.35593975560413</v>
      </c>
      <c r="AF9" s="41">
        <f>cFtMojaveSales*(1+cTDLoss)</f>
        <v>51604.799999999996</v>
      </c>
      <c r="AG9" s="35">
        <f t="shared" si="7"/>
        <v>857.79798216290556</v>
      </c>
      <c r="AH9" s="35">
        <f t="shared" si="7"/>
        <v>857.62534026407161</v>
      </c>
      <c r="AI9" s="35">
        <f t="shared" si="7"/>
        <v>857.41826336673478</v>
      </c>
      <c r="AJ9" s="35">
        <f t="shared" si="7"/>
        <v>857.18034863075741</v>
      </c>
      <c r="AK9" s="35">
        <f t="shared" si="7"/>
        <v>856.93077734375265</v>
      </c>
      <c r="AL9" s="36">
        <f t="shared" si="8"/>
        <v>857.39054235364461</v>
      </c>
      <c r="AM9" s="36">
        <f>AK9</f>
        <v>856.93077734375265</v>
      </c>
    </row>
    <row r="11" spans="1:39" ht="21.75" thickBot="1" x14ac:dyDescent="0.4">
      <c r="A11" s="1" t="s">
        <v>317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6.25" thickTop="1" x14ac:dyDescent="0.2">
      <c r="A12" s="14"/>
      <c r="B12" s="69"/>
      <c r="C12" s="70"/>
      <c r="D12" s="70"/>
      <c r="E12" s="70"/>
      <c r="F12" s="70"/>
      <c r="G12" s="70"/>
      <c r="H12" s="70"/>
      <c r="I12" s="70"/>
      <c r="J12" s="70"/>
      <c r="K12" s="71"/>
      <c r="L12" s="15" t="s">
        <v>133</v>
      </c>
      <c r="M12" s="72" t="s">
        <v>134</v>
      </c>
      <c r="N12" s="73"/>
      <c r="O12" s="73"/>
      <c r="P12" s="73"/>
      <c r="Q12" s="73"/>
      <c r="R12" s="73"/>
      <c r="S12" s="74"/>
      <c r="T12" s="16" t="s">
        <v>135</v>
      </c>
      <c r="U12" s="75" t="s">
        <v>136</v>
      </c>
      <c r="V12" s="76"/>
      <c r="W12" s="76"/>
      <c r="X12" s="76"/>
      <c r="Y12" s="76"/>
      <c r="Z12" s="78" t="s">
        <v>137</v>
      </c>
      <c r="AA12" s="79"/>
      <c r="AB12" s="79"/>
      <c r="AC12" s="79"/>
      <c r="AD12" s="79"/>
      <c r="AE12" s="79"/>
      <c r="AF12" s="80"/>
      <c r="AG12" s="81" t="s">
        <v>138</v>
      </c>
      <c r="AH12" s="82"/>
      <c r="AI12" s="82"/>
      <c r="AJ12" s="82"/>
      <c r="AK12" s="82"/>
      <c r="AL12" s="82"/>
      <c r="AM12" s="83"/>
    </row>
    <row r="13" spans="1:39" ht="114.75" customHeight="1" x14ac:dyDescent="0.2">
      <c r="A13" s="18" t="s">
        <v>139</v>
      </c>
      <c r="B13" s="19" t="s">
        <v>140</v>
      </c>
      <c r="C13" s="19" t="s">
        <v>141</v>
      </c>
      <c r="D13" s="19" t="s">
        <v>142</v>
      </c>
      <c r="E13" s="19" t="s">
        <v>143</v>
      </c>
      <c r="F13" s="19" t="s">
        <v>144</v>
      </c>
      <c r="G13" s="19" t="s">
        <v>145</v>
      </c>
      <c r="H13" s="19" t="s">
        <v>146</v>
      </c>
      <c r="I13" s="19" t="s">
        <v>147</v>
      </c>
      <c r="J13" s="19" t="s">
        <v>148</v>
      </c>
      <c r="K13" s="19" t="s">
        <v>149</v>
      </c>
      <c r="L13" s="20" t="s">
        <v>150</v>
      </c>
      <c r="M13" s="21" t="s">
        <v>151</v>
      </c>
      <c r="N13" s="21" t="s">
        <v>239</v>
      </c>
      <c r="O13" s="21" t="s">
        <v>152</v>
      </c>
      <c r="P13" s="21" t="s">
        <v>143</v>
      </c>
      <c r="Q13" s="21" t="s">
        <v>147</v>
      </c>
      <c r="R13" s="21" t="s">
        <v>153</v>
      </c>
      <c r="S13" s="21" t="s">
        <v>240</v>
      </c>
      <c r="T13" s="22" t="s">
        <v>154</v>
      </c>
      <c r="U13" s="23" t="s">
        <v>155</v>
      </c>
      <c r="V13" s="23" t="s">
        <v>156</v>
      </c>
      <c r="W13" s="23" t="s">
        <v>157</v>
      </c>
      <c r="X13" s="23" t="s">
        <v>158</v>
      </c>
      <c r="Y13" s="23" t="s">
        <v>159</v>
      </c>
      <c r="Z13" s="24" t="s">
        <v>165</v>
      </c>
      <c r="AA13" s="24" t="s">
        <v>166</v>
      </c>
      <c r="AB13" s="24" t="s">
        <v>167</v>
      </c>
      <c r="AC13" s="24" t="s">
        <v>168</v>
      </c>
      <c r="AD13" s="24" t="s">
        <v>169</v>
      </c>
      <c r="AE13" s="24" t="s">
        <v>175</v>
      </c>
      <c r="AF13" s="25" t="s">
        <v>176</v>
      </c>
      <c r="AG13" s="26">
        <v>2020</v>
      </c>
      <c r="AH13" s="26">
        <v>2021</v>
      </c>
      <c r="AI13" s="26">
        <v>2022</v>
      </c>
      <c r="AJ13" s="26">
        <v>2023</v>
      </c>
      <c r="AK13" s="26">
        <v>2024</v>
      </c>
      <c r="AL13" s="27" t="s">
        <v>241</v>
      </c>
      <c r="AM13" s="27" t="s">
        <v>242</v>
      </c>
    </row>
    <row r="14" spans="1:39" x14ac:dyDescent="0.2">
      <c r="A14" s="28" t="s">
        <v>179</v>
      </c>
      <c r="B14" s="29">
        <f>SUMIFS(tPREGUs[CO2 (MT)], tPREGUs[Include?],"Y",tPREGUs[Fuel],"Coal")*cMT2LB/F14</f>
        <v>2215.5639697090478</v>
      </c>
      <c r="C14" s="29">
        <f>SUMIFS(tPREGUs[CO2 (MT)],tPREGUs[Include?],"Y",tPREGUs[Fuel],"NG",tPREGUs[Prime mover],"CC")*cMT2LB/G14</f>
        <v>927.99376193073351</v>
      </c>
      <c r="D14" s="29">
        <f>SUMIFS(tPREGUs[CO2 (MT)],tPREGUs[Include?],"Y",tPREGUs[Fuel],"&lt;&gt;Coal", tPREGUs[Prime mover],"ST")*cMT2LB/H14</f>
        <v>1792.9453454305308</v>
      </c>
      <c r="E14" s="29">
        <v>0</v>
      </c>
      <c r="F14" s="29">
        <f>SUMIFS(tPREGUs[Net Generation (MWh)], tPREGUs[Include?],"Y",tPREGUs[Fuel],"Coal")</f>
        <v>3417319.9074880593</v>
      </c>
      <c r="G14" s="29">
        <f>SUMIFS(tPREGUs[Net Generation (MWh)],tPREGUs[Include?],"Y",tPREGUs[Fuel],"NG",tPREGUs[Prime mover],"CC")</f>
        <v>3802792.7985828486</v>
      </c>
      <c r="H14" s="29">
        <f>SUMIFS(tPREGUs[Net Generation (MWh)],tPREGUs[Include?],"Y",tPREGUs[Fuel],"&lt;&gt;Coal", tPREGUs[Prime mover],"ST")</f>
        <v>12763391.454358565</v>
      </c>
      <c r="I14" s="29">
        <v>0</v>
      </c>
      <c r="J14" s="29">
        <f>SUMIFS(tPREGUs[Capacity (MW)],tPREGUs[Include?],"Y",tPREGUs[Fuel],"NG",tPREGUs[Prime mover],"CC")</f>
        <v>1080</v>
      </c>
      <c r="K14" s="29">
        <v>0</v>
      </c>
      <c r="L14" s="30">
        <f>B14*0.96+N("The .96 reflects a 4% HRI")</f>
        <v>2126.9414109206859</v>
      </c>
      <c r="M14" s="31">
        <f t="shared" ref="M14:M15" si="9">MAX(F14-((O14-G14)*(F14/(F14+H14))), 0)</f>
        <v>2918139.5928516248</v>
      </c>
      <c r="N14" s="31">
        <f t="shared" ref="N14:N15" si="10">MAX(H14-((O14-G14)*(H14/(H14+F14))),0)</f>
        <v>10898996.567577848</v>
      </c>
      <c r="O14" s="31">
        <f>MIN((J14*cHours*cOpt2NGCC), SUM(F14:H14))</f>
        <v>6166368</v>
      </c>
      <c r="P14" s="31">
        <f>0.55*cHours*C14*K14+E14</f>
        <v>0</v>
      </c>
      <c r="Q14" s="31">
        <f>K14*cHours*0.55+I14</f>
        <v>0</v>
      </c>
      <c r="R14" s="32">
        <f>IF(J14=0, 0, G14/(cHours*J14))</f>
        <v>0.40085433095768069</v>
      </c>
      <c r="S14" s="32">
        <f>IF(J14=0,0,(O14-(0.15*cHours*K14))/(cHours*J14))</f>
        <v>0.65</v>
      </c>
      <c r="T14" s="33">
        <v>0</v>
      </c>
      <c r="U14" s="34">
        <v>101092.36598262208</v>
      </c>
      <c r="V14" s="34">
        <v>109847.2015994996</v>
      </c>
      <c r="W14" s="34">
        <v>119360.22648154601</v>
      </c>
      <c r="X14" s="34">
        <v>129697.10159453763</v>
      </c>
      <c r="Y14" s="34">
        <v>140929.17429764193</v>
      </c>
      <c r="Z14" s="37">
        <v>8.6600728815789466E-3</v>
      </c>
      <c r="AA14" s="37">
        <v>1.4135711101491689E-2</v>
      </c>
      <c r="AB14" s="37">
        <v>2.074423721160585E-2</v>
      </c>
      <c r="AC14" s="37">
        <v>2.8382926063932591E-2</v>
      </c>
      <c r="AD14" s="37">
        <v>3.6460625797624699E-2</v>
      </c>
      <c r="AE14" s="40">
        <v>1</v>
      </c>
      <c r="AF14" s="41">
        <f>cPRSales*(1+cTDLoss)</f>
        <v>19513419.783</v>
      </c>
      <c r="AG14" s="35">
        <f t="shared" ref="AG14:AK15" si="11">(($L14*$M14)+($N14*$D14)+($C14*$O14)+$P14)/($M14+$N14+$O14+$Q14+$T14+U14+(MIN(Z14*$AF14,$AF14*$AE14*Z14)))</f>
        <v>1553.8172350968284</v>
      </c>
      <c r="AH14" s="35">
        <f t="shared" si="11"/>
        <v>1544.9987025564189</v>
      </c>
      <c r="AI14" s="35">
        <f t="shared" si="11"/>
        <v>1534.5668502384979</v>
      </c>
      <c r="AJ14" s="35">
        <f t="shared" si="11"/>
        <v>1522.7315627908104</v>
      </c>
      <c r="AK14" s="35">
        <f t="shared" si="11"/>
        <v>1510.3912405487247</v>
      </c>
      <c r="AL14" s="36">
        <f>AVERAGE(AG14:AK14)</f>
        <v>1533.301118246256</v>
      </c>
      <c r="AM14" s="36">
        <f>AK14</f>
        <v>1510.3912405487247</v>
      </c>
    </row>
    <row r="15" spans="1:39" x14ac:dyDescent="0.2">
      <c r="A15" s="28" t="s">
        <v>180</v>
      </c>
      <c r="B15" s="29">
        <v>0</v>
      </c>
      <c r="C15" s="29">
        <v>0</v>
      </c>
      <c r="D15" s="29">
        <f>SUMIF(tGuamEGUs[Include?],"Y",tGuamEGUs[CO2 (MT)])*cMT2LB/H15</f>
        <v>1947.8707626591574</v>
      </c>
      <c r="E15" s="29">
        <v>0</v>
      </c>
      <c r="F15" s="29">
        <v>0</v>
      </c>
      <c r="G15" s="29">
        <v>0</v>
      </c>
      <c r="H15" s="29">
        <f>SUMIF(tGuamEGUs[Include?],"Y",tGuamEGUs[Net Generation (MWh)])</f>
        <v>713075.48660000018</v>
      </c>
      <c r="I15" s="29">
        <v>0</v>
      </c>
      <c r="J15" s="29">
        <v>0</v>
      </c>
      <c r="K15" s="29">
        <v>0</v>
      </c>
      <c r="L15" s="30">
        <f>B15*0.96+N("The .96 reflects a 4% HRI")</f>
        <v>0</v>
      </c>
      <c r="M15" s="31">
        <f t="shared" si="9"/>
        <v>0</v>
      </c>
      <c r="N15" s="31">
        <f t="shared" si="10"/>
        <v>713075.48660000018</v>
      </c>
      <c r="O15" s="31">
        <f>MIN((J15*cHours*cOpt2NGCC), SUM(F15:H15))</f>
        <v>0</v>
      </c>
      <c r="P15" s="31">
        <f>0.55*cHours*C15*K15+E15</f>
        <v>0</v>
      </c>
      <c r="Q15" s="31">
        <f>K15*cHours*0.55+I15</f>
        <v>0</v>
      </c>
      <c r="R15" s="32">
        <f>IF(J15=0, 0, G15/(cHours*J15))</f>
        <v>0</v>
      </c>
      <c r="S15" s="32">
        <f>IF(K15&gt;0,(O15-(0.15*8784*K15))/(8784*K15),0)</f>
        <v>0</v>
      </c>
      <c r="T15" s="33">
        <v>0</v>
      </c>
      <c r="U15" s="34">
        <v>7992.3591712234638</v>
      </c>
      <c r="V15" s="34">
        <v>8684.5161907469083</v>
      </c>
      <c r="W15" s="34">
        <v>9436.6156289494975</v>
      </c>
      <c r="X15" s="34">
        <v>10253.848639652917</v>
      </c>
      <c r="Y15" s="34">
        <v>11141.855942755668</v>
      </c>
      <c r="Z15" s="37">
        <v>8.6600728815789483E-3</v>
      </c>
      <c r="AA15" s="37">
        <v>1.4135711101491692E-2</v>
      </c>
      <c r="AB15" s="37">
        <v>2.074423721160585E-2</v>
      </c>
      <c r="AC15" s="37">
        <v>2.8382926063932595E-2</v>
      </c>
      <c r="AD15" s="37">
        <v>3.6460625797624699E-2</v>
      </c>
      <c r="AE15" s="40">
        <v>1</v>
      </c>
      <c r="AF15" s="41">
        <f>cGuamSales*(1+cTDLoss)</f>
        <v>1680891.9724999999</v>
      </c>
      <c r="AG15" s="35">
        <f t="shared" si="11"/>
        <v>1888.1629222368554</v>
      </c>
      <c r="AH15" s="35">
        <f t="shared" si="11"/>
        <v>1863.0992631719009</v>
      </c>
      <c r="AI15" s="35">
        <f t="shared" si="11"/>
        <v>1833.9237863555174</v>
      </c>
      <c r="AJ15" s="35">
        <f t="shared" si="11"/>
        <v>1801.4403309481577</v>
      </c>
      <c r="AK15" s="35">
        <f t="shared" si="11"/>
        <v>1768.2652087472297</v>
      </c>
      <c r="AL15" s="36">
        <f>AVERAGE(AG15:AK15)</f>
        <v>1830.9783022919321</v>
      </c>
      <c r="AM15" s="36">
        <f>AK15</f>
        <v>1768.2652087472297</v>
      </c>
    </row>
  </sheetData>
  <mergeCells count="10">
    <mergeCell ref="B12:K12"/>
    <mergeCell ref="M12:S12"/>
    <mergeCell ref="U12:Y12"/>
    <mergeCell ref="Z12:AF12"/>
    <mergeCell ref="AG12:AM12"/>
    <mergeCell ref="B2:K2"/>
    <mergeCell ref="M2:S2"/>
    <mergeCell ref="U2:Y2"/>
    <mergeCell ref="Z2:AF2"/>
    <mergeCell ref="AG2:A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31"/>
  <sheetViews>
    <sheetView showGridLines="0" workbookViewId="0"/>
  </sheetViews>
  <sheetFormatPr defaultRowHeight="15" x14ac:dyDescent="0.25"/>
  <cols>
    <col min="1" max="1" width="33.5703125" customWidth="1"/>
    <col min="2" max="2" width="13.28515625" customWidth="1"/>
    <col min="3" max="3" width="15.140625" customWidth="1"/>
    <col min="4" max="4" width="14.42578125" bestFit="1" customWidth="1"/>
    <col min="5" max="5" width="39" customWidth="1"/>
  </cols>
  <sheetData>
    <row r="1" spans="1:5" ht="18" thickBot="1" x14ac:dyDescent="0.35">
      <c r="A1" s="2" t="s">
        <v>1</v>
      </c>
      <c r="B1" s="2"/>
      <c r="C1" s="2"/>
      <c r="D1" s="2"/>
      <c r="E1" s="2"/>
    </row>
    <row r="2" spans="1:5" ht="15.75" thickTop="1" x14ac:dyDescent="0.25">
      <c r="A2" s="5" t="s">
        <v>5</v>
      </c>
      <c r="B2" s="5" t="s">
        <v>6</v>
      </c>
      <c r="C2" s="5" t="s">
        <v>9</v>
      </c>
      <c r="D2" s="5" t="s">
        <v>7</v>
      </c>
      <c r="E2" s="5" t="s">
        <v>8</v>
      </c>
    </row>
    <row r="3" spans="1:5" x14ac:dyDescent="0.25">
      <c r="A3" t="s">
        <v>272</v>
      </c>
      <c r="B3" s="9">
        <f>103.311/105.166</f>
        <v>0.98236121940551135</v>
      </c>
      <c r="D3" t="s">
        <v>320</v>
      </c>
      <c r="E3" s="4" t="s">
        <v>312</v>
      </c>
    </row>
    <row r="4" spans="1:5" x14ac:dyDescent="0.25">
      <c r="A4" t="s">
        <v>280</v>
      </c>
      <c r="B4" s="45">
        <v>3.5</v>
      </c>
      <c r="C4" t="s">
        <v>273</v>
      </c>
      <c r="D4" t="s">
        <v>286</v>
      </c>
      <c r="E4" s="4" t="s">
        <v>281</v>
      </c>
    </row>
    <row r="5" spans="1:5" x14ac:dyDescent="0.25">
      <c r="A5" t="s">
        <v>257</v>
      </c>
      <c r="B5" s="45">
        <f>3.393*cDollar2011</f>
        <v>3.3331516174428999</v>
      </c>
      <c r="C5" t="s">
        <v>273</v>
      </c>
      <c r="D5" t="s">
        <v>293</v>
      </c>
      <c r="E5" s="4" t="s">
        <v>275</v>
      </c>
    </row>
    <row r="6" spans="1:5" x14ac:dyDescent="0.25">
      <c r="A6" t="s">
        <v>258</v>
      </c>
      <c r="B6" s="45">
        <f>3.535*cDollar2011</f>
        <v>3.472646910598483</v>
      </c>
      <c r="C6" t="s">
        <v>273</v>
      </c>
      <c r="D6" t="s">
        <v>294</v>
      </c>
      <c r="E6" s="4" t="s">
        <v>275</v>
      </c>
    </row>
    <row r="7" spans="1:5" x14ac:dyDescent="0.25">
      <c r="A7" t="s">
        <v>259</v>
      </c>
      <c r="B7" s="45">
        <f>3.695*cDollar2011</f>
        <v>3.6298247057033644</v>
      </c>
      <c r="C7" t="s">
        <v>273</v>
      </c>
      <c r="D7" t="s">
        <v>295</v>
      </c>
      <c r="E7" s="4" t="s">
        <v>275</v>
      </c>
    </row>
    <row r="8" spans="1:5" x14ac:dyDescent="0.25">
      <c r="A8" t="s">
        <v>260</v>
      </c>
      <c r="B8" s="45">
        <f>(6.065+cLNGAdder)*cDollar2011</f>
        <v>9.3962850636137176</v>
      </c>
      <c r="C8" t="s">
        <v>273</v>
      </c>
      <c r="D8" t="s">
        <v>297</v>
      </c>
      <c r="E8" s="4" t="s">
        <v>277</v>
      </c>
    </row>
    <row r="9" spans="1:5" x14ac:dyDescent="0.25">
      <c r="A9" t="s">
        <v>261</v>
      </c>
      <c r="B9" s="45">
        <f>(6.744+cLNGAdder)*cDollar2011</f>
        <v>10.063308331590058</v>
      </c>
      <c r="C9" t="s">
        <v>273</v>
      </c>
      <c r="D9" t="s">
        <v>296</v>
      </c>
      <c r="E9" s="4" t="s">
        <v>277</v>
      </c>
    </row>
    <row r="10" spans="1:5" x14ac:dyDescent="0.25">
      <c r="A10" t="s">
        <v>262</v>
      </c>
      <c r="B10" s="45">
        <f>(7.398+cLNGAdder)*cDollar2011</f>
        <v>10.705772569081262</v>
      </c>
      <c r="C10" t="s">
        <v>273</v>
      </c>
      <c r="D10" t="s">
        <v>298</v>
      </c>
      <c r="E10" s="4" t="s">
        <v>277</v>
      </c>
    </row>
    <row r="11" spans="1:5" x14ac:dyDescent="0.25">
      <c r="A11" t="s">
        <v>268</v>
      </c>
      <c r="B11" s="45">
        <f>20.377*cDollar2011</f>
        <v>20.017574567826102</v>
      </c>
      <c r="C11" t="s">
        <v>273</v>
      </c>
      <c r="D11" t="s">
        <v>299</v>
      </c>
      <c r="E11" s="4" t="s">
        <v>275</v>
      </c>
    </row>
    <row r="12" spans="1:5" x14ac:dyDescent="0.25">
      <c r="A12" t="s">
        <v>266</v>
      </c>
      <c r="B12" s="45">
        <f>22.662*cDollar2011</f>
        <v>22.262269954167696</v>
      </c>
      <c r="C12" t="s">
        <v>273</v>
      </c>
      <c r="D12" t="s">
        <v>300</v>
      </c>
      <c r="E12" s="4" t="s">
        <v>275</v>
      </c>
    </row>
    <row r="13" spans="1:5" x14ac:dyDescent="0.25">
      <c r="A13" t="s">
        <v>267</v>
      </c>
      <c r="B13" s="45">
        <f>24.322*cDollar2011</f>
        <v>23.892989578380845</v>
      </c>
      <c r="C13" t="s">
        <v>273</v>
      </c>
      <c r="D13" t="s">
        <v>301</v>
      </c>
      <c r="E13" s="4" t="s">
        <v>275</v>
      </c>
    </row>
    <row r="14" spans="1:5" x14ac:dyDescent="0.25">
      <c r="A14" t="s">
        <v>263</v>
      </c>
      <c r="B14" s="45">
        <f>13.428*cDollar2011</f>
        <v>13.191146454177208</v>
      </c>
      <c r="C14" t="s">
        <v>273</v>
      </c>
      <c r="D14" t="s">
        <v>302</v>
      </c>
      <c r="E14" s="4" t="s">
        <v>275</v>
      </c>
    </row>
    <row r="15" spans="1:5" x14ac:dyDescent="0.25">
      <c r="A15" t="s">
        <v>264</v>
      </c>
      <c r="B15" s="45">
        <f>15.141*cDollar2011</f>
        <v>14.873931223018847</v>
      </c>
      <c r="C15" t="s">
        <v>273</v>
      </c>
      <c r="D15" t="s">
        <v>303</v>
      </c>
      <c r="E15" s="4" t="s">
        <v>275</v>
      </c>
    </row>
    <row r="16" spans="1:5" x14ac:dyDescent="0.25">
      <c r="A16" t="s">
        <v>265</v>
      </c>
      <c r="B16" s="45">
        <f>16.923*cDollar2011</f>
        <v>16.624498915999467</v>
      </c>
      <c r="C16" t="s">
        <v>273</v>
      </c>
      <c r="D16" t="s">
        <v>304</v>
      </c>
      <c r="E16" s="4" t="s">
        <v>275</v>
      </c>
    </row>
    <row r="17" spans="1:6" x14ac:dyDescent="0.25">
      <c r="A17" t="s">
        <v>269</v>
      </c>
      <c r="B17" s="45">
        <f>13.891*cDollar2011</f>
        <v>13.645979698761959</v>
      </c>
      <c r="C17" t="s">
        <v>273</v>
      </c>
      <c r="D17" t="s">
        <v>305</v>
      </c>
      <c r="E17" s="4" t="s">
        <v>276</v>
      </c>
    </row>
    <row r="18" spans="1:6" x14ac:dyDescent="0.25">
      <c r="A18" t="s">
        <v>270</v>
      </c>
      <c r="B18" s="45">
        <f>15.605*cDollar2011</f>
        <v>15.329746828823005</v>
      </c>
      <c r="C18" t="s">
        <v>273</v>
      </c>
      <c r="D18" t="s">
        <v>306</v>
      </c>
      <c r="E18" s="4" t="s">
        <v>276</v>
      </c>
    </row>
    <row r="19" spans="1:6" x14ac:dyDescent="0.25">
      <c r="A19" t="s">
        <v>271</v>
      </c>
      <c r="B19" s="45">
        <f>17.144*cDollar2011</f>
        <v>16.841600745488083</v>
      </c>
      <c r="C19" t="s">
        <v>273</v>
      </c>
      <c r="D19" t="s">
        <v>307</v>
      </c>
      <c r="E19" s="4" t="s">
        <v>276</v>
      </c>
    </row>
    <row r="20" spans="1:6" x14ac:dyDescent="0.25">
      <c r="A20" t="s">
        <v>282</v>
      </c>
      <c r="B20" s="47">
        <f>'App 2 - Goals option 1'!F4/('App 2 - Goals option 1'!F4+'App 2 - Goals option 1'!H4)</f>
        <v>0.21119713658238431</v>
      </c>
      <c r="D20" t="s">
        <v>284</v>
      </c>
      <c r="E20" s="4"/>
    </row>
    <row r="21" spans="1:6" x14ac:dyDescent="0.25">
      <c r="A21" t="s">
        <v>283</v>
      </c>
      <c r="B21" s="47">
        <f>'App 2 - Goals option 1'!H4/('App 2 - Goals option 1'!F4+'App 2 - Goals option 1'!H4)</f>
        <v>0.78880286341761563</v>
      </c>
      <c r="D21" t="s">
        <v>285</v>
      </c>
      <c r="E21" s="4"/>
    </row>
    <row r="22" spans="1:6" x14ac:dyDescent="0.25">
      <c r="A22" t="s">
        <v>290</v>
      </c>
      <c r="B22" s="58">
        <v>14300</v>
      </c>
      <c r="C22" t="s">
        <v>291</v>
      </c>
      <c r="D22" t="s">
        <v>292</v>
      </c>
      <c r="E22" s="4"/>
    </row>
    <row r="24" spans="1:6" ht="18" thickBot="1" x14ac:dyDescent="0.35">
      <c r="A24" s="2" t="s">
        <v>2</v>
      </c>
      <c r="B24" s="2"/>
      <c r="C24" s="2"/>
      <c r="D24" s="2"/>
      <c r="E24" s="2"/>
    </row>
    <row r="25" spans="1:6" ht="15.75" thickTop="1" x14ac:dyDescent="0.25">
      <c r="A25" t="s">
        <v>256</v>
      </c>
      <c r="B25" s="4"/>
      <c r="C25" s="4"/>
      <c r="D25" s="4"/>
      <c r="E25" s="4"/>
    </row>
    <row r="26" spans="1:6" x14ac:dyDescent="0.25">
      <c r="A26" t="s">
        <v>278</v>
      </c>
      <c r="B26" s="4"/>
      <c r="C26" s="4"/>
      <c r="D26" s="4"/>
      <c r="E26" s="4"/>
    </row>
    <row r="27" spans="1:6" x14ac:dyDescent="0.25">
      <c r="A27" s="44" t="s">
        <v>279</v>
      </c>
      <c r="B27" s="4"/>
      <c r="C27" s="4"/>
      <c r="D27" s="4"/>
      <c r="E27" s="4"/>
    </row>
    <row r="29" spans="1:6" ht="18" thickBot="1" x14ac:dyDescent="0.35">
      <c r="A29" s="2" t="s">
        <v>243</v>
      </c>
      <c r="B29" s="2"/>
      <c r="C29" s="2"/>
      <c r="D29" s="2"/>
      <c r="E29" s="2"/>
    </row>
    <row r="30" spans="1:6" ht="15.75" thickTop="1" x14ac:dyDescent="0.25">
      <c r="A30" s="44" t="s">
        <v>274</v>
      </c>
      <c r="F30" s="7"/>
    </row>
    <row r="31" spans="1:6" x14ac:dyDescent="0.25">
      <c r="F31" s="7"/>
    </row>
  </sheetData>
  <hyperlinks>
    <hyperlink ref="A30" r:id="rId1" location="release=AEO2014&amp;subject=0-AEO2014&amp;table=3-AEO2014&amp;region=1-0&amp;cases=ref2014-d102413a"/>
    <hyperlink ref="A27" r:id="rId2"/>
  </hyperlinks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76"/>
  <sheetViews>
    <sheetView workbookViewId="0">
      <pane xSplit="2" topLeftCell="C1" activePane="topRight" state="frozen"/>
      <selection pane="topRight"/>
    </sheetView>
  </sheetViews>
  <sheetFormatPr defaultRowHeight="12.75" x14ac:dyDescent="0.2"/>
  <cols>
    <col min="1" max="1" width="2.85546875" style="17" customWidth="1"/>
    <col min="2" max="2" width="16.28515625" style="17" customWidth="1"/>
    <col min="3" max="5" width="13.7109375" style="17" customWidth="1"/>
    <col min="6" max="15" width="10.28515625" style="17" customWidth="1"/>
    <col min="16" max="16384" width="9.140625" style="17"/>
  </cols>
  <sheetData>
    <row r="1" spans="1:15" s="60" customFormat="1" ht="16.5" thickBot="1" x14ac:dyDescent="0.3">
      <c r="A1" s="59" t="s">
        <v>308</v>
      </c>
      <c r="B1" s="59"/>
      <c r="C1" s="59" t="s">
        <v>252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3.5" thickTop="1" x14ac:dyDescent="0.2">
      <c r="C2" s="48" t="s">
        <v>251</v>
      </c>
      <c r="D2" s="84" t="s">
        <v>255</v>
      </c>
      <c r="E2" s="84"/>
      <c r="F2" s="84"/>
      <c r="G2" s="85" t="s">
        <v>249</v>
      </c>
      <c r="H2" s="85"/>
      <c r="I2" s="85"/>
      <c r="J2" s="86" t="s">
        <v>248</v>
      </c>
      <c r="K2" s="86"/>
      <c r="L2" s="86"/>
      <c r="M2" s="87" t="s">
        <v>250</v>
      </c>
      <c r="N2" s="87"/>
      <c r="O2" s="87"/>
    </row>
    <row r="3" spans="1:15" x14ac:dyDescent="0.2">
      <c r="C3" s="49">
        <v>2012</v>
      </c>
      <c r="D3" s="50">
        <v>2020</v>
      </c>
      <c r="E3" s="50">
        <v>2025</v>
      </c>
      <c r="F3" s="50">
        <v>2030</v>
      </c>
      <c r="G3" s="51">
        <v>2020</v>
      </c>
      <c r="H3" s="51">
        <v>2025</v>
      </c>
      <c r="I3" s="51">
        <v>2030</v>
      </c>
      <c r="J3" s="52">
        <v>2020</v>
      </c>
      <c r="K3" s="52">
        <v>2025</v>
      </c>
      <c r="L3" s="52">
        <v>2030</v>
      </c>
      <c r="M3" s="53">
        <v>2020</v>
      </c>
      <c r="N3" s="53">
        <v>2025</v>
      </c>
      <c r="O3" s="53">
        <v>2030</v>
      </c>
    </row>
    <row r="4" spans="1:15" x14ac:dyDescent="0.2">
      <c r="A4" s="17" t="s">
        <v>179</v>
      </c>
      <c r="C4" s="54">
        <f t="shared" ref="C4:O4" si="0">SUM(C5:C7)</f>
        <v>19983504.16042947</v>
      </c>
      <c r="D4" s="55">
        <f t="shared" si="0"/>
        <v>19983504.16042947</v>
      </c>
      <c r="E4" s="55">
        <f t="shared" si="0"/>
        <v>19983504.16042947</v>
      </c>
      <c r="F4" s="55">
        <f t="shared" si="0"/>
        <v>19983504.16042947</v>
      </c>
      <c r="G4" s="56">
        <f t="shared" si="0"/>
        <v>19758396.413168635</v>
      </c>
      <c r="H4" s="56">
        <f t="shared" si="0"/>
        <v>18805589.397619694</v>
      </c>
      <c r="I4" s="56">
        <f t="shared" si="0"/>
        <v>18092801.072260052</v>
      </c>
      <c r="J4" s="57">
        <f t="shared" si="0"/>
        <v>19758396.413168635</v>
      </c>
      <c r="K4" s="57">
        <f t="shared" si="0"/>
        <v>18805589.397619694</v>
      </c>
      <c r="L4" s="57">
        <f t="shared" si="0"/>
        <v>18092801.072260052</v>
      </c>
      <c r="M4" s="42">
        <f t="shared" si="0"/>
        <v>19758396.413168639</v>
      </c>
      <c r="N4" s="42">
        <f t="shared" si="0"/>
        <v>18805589.397619694</v>
      </c>
      <c r="O4" s="42">
        <f t="shared" si="0"/>
        <v>18092801.072260056</v>
      </c>
    </row>
    <row r="5" spans="1:15" hidden="1" x14ac:dyDescent="0.2">
      <c r="B5" s="17" t="s">
        <v>125</v>
      </c>
      <c r="C5" s="54">
        <f>'App 2 - Goals option 1'!F4</f>
        <v>3417319.9074880593</v>
      </c>
      <c r="D5" s="55">
        <f t="shared" ref="D5:E7" si="1">C5</f>
        <v>3417319.9074880593</v>
      </c>
      <c r="E5" s="55">
        <f t="shared" si="1"/>
        <v>3417319.9074880593</v>
      </c>
      <c r="F5" s="55">
        <f>D5</f>
        <v>3417319.9074880593</v>
      </c>
      <c r="G5" s="56">
        <f>D5</f>
        <v>3417319.9074880593</v>
      </c>
      <c r="H5" s="56">
        <f t="shared" ref="H5:I6" si="2">E5</f>
        <v>3417319.9074880593</v>
      </c>
      <c r="I5" s="56">
        <f t="shared" si="2"/>
        <v>3417319.9074880593</v>
      </c>
      <c r="J5" s="57">
        <f>G5</f>
        <v>3417319.9074880593</v>
      </c>
      <c r="K5" s="57">
        <f t="shared" ref="K5:L6" si="3">H5</f>
        <v>3417319.9074880593</v>
      </c>
      <c r="L5" s="57">
        <f t="shared" si="3"/>
        <v>3417319.9074880593</v>
      </c>
      <c r="M5" s="42">
        <f>J5-((M6-J6+N("increased generation from NGCC"))*cPRCoalShare)</f>
        <v>2817961.1878736829</v>
      </c>
      <c r="N5" s="42">
        <f>K5-((N6-K6+N("increased generation from NGCC"))*cPRCoalShare)</f>
        <v>2817961.1878736829</v>
      </c>
      <c r="O5" s="42">
        <f>L5-((O6-L6+N("increased generation from NGCC"))*cPRCoalShare)</f>
        <v>2817961.1878736829</v>
      </c>
    </row>
    <row r="6" spans="1:15" hidden="1" x14ac:dyDescent="0.2">
      <c r="B6" s="17" t="s">
        <v>253</v>
      </c>
      <c r="C6" s="54">
        <f>'App 2 - Goals option 1'!G4</f>
        <v>3802792.7985828486</v>
      </c>
      <c r="D6" s="55">
        <f t="shared" si="1"/>
        <v>3802792.7985828486</v>
      </c>
      <c r="E6" s="55">
        <f t="shared" si="1"/>
        <v>3802792.7985828486</v>
      </c>
      <c r="F6" s="55">
        <f>D6</f>
        <v>3802792.7985828486</v>
      </c>
      <c r="G6" s="56">
        <f>D6</f>
        <v>3802792.7985828486</v>
      </c>
      <c r="H6" s="56">
        <f t="shared" si="2"/>
        <v>3802792.7985828486</v>
      </c>
      <c r="I6" s="56">
        <f t="shared" si="2"/>
        <v>3802792.7985828486</v>
      </c>
      <c r="J6" s="57">
        <f>G6</f>
        <v>3802792.7985828486</v>
      </c>
      <c r="K6" s="57">
        <f t="shared" si="3"/>
        <v>3802792.7985828486</v>
      </c>
      <c r="L6" s="57">
        <f t="shared" si="3"/>
        <v>3802792.7985828486</v>
      </c>
      <c r="M6" s="53">
        <f>'App 2 - Goals option 1'!$J$4*cOpt1NGCC*cHours</f>
        <v>6640704</v>
      </c>
      <c r="N6" s="53">
        <f>'App 2 - Goals option 1'!$J$4*cOpt1NGCC*cHours</f>
        <v>6640704</v>
      </c>
      <c r="O6" s="53">
        <f>'App 2 - Goals option 1'!$J$4*cOpt1NGCC*cHours</f>
        <v>6640704</v>
      </c>
    </row>
    <row r="7" spans="1:15" hidden="1" x14ac:dyDescent="0.2">
      <c r="B7" s="17" t="s">
        <v>254</v>
      </c>
      <c r="C7" s="54">
        <f>'App 2 - Goals option 1'!H4</f>
        <v>12763391.454358565</v>
      </c>
      <c r="D7" s="55">
        <f t="shared" si="1"/>
        <v>12763391.454358565</v>
      </c>
      <c r="E7" s="55">
        <f t="shared" si="1"/>
        <v>12763391.454358565</v>
      </c>
      <c r="F7" s="55">
        <f>D7</f>
        <v>12763391.454358565</v>
      </c>
      <c r="G7" s="51">
        <f>D7- ('App 2 - Goals option 1'!AE4*'App 2 - Goals option 1'!$AP4)</f>
        <v>12538283.707097728</v>
      </c>
      <c r="H7" s="51">
        <f>E7- ('App 2 - Goals option 1'!AJ4*'App 2 - Goals option 1'!$AP4)</f>
        <v>11585476.691548787</v>
      </c>
      <c r="I7" s="51">
        <f>F7- ('App 2 - Goals option 1'!AN4*'App 2 - Goals option 1'!$AP4)</f>
        <v>10872688.366189146</v>
      </c>
      <c r="J7" s="57">
        <f>G7-'App 2 - Goals option 1'!U4</f>
        <v>12538283.707097728</v>
      </c>
      <c r="K7" s="57">
        <f>H7-'App 2 - Goals option 1'!Z4</f>
        <v>11585476.691548787</v>
      </c>
      <c r="L7" s="57">
        <f>I7-'App 2 - Goals option 1'!AD4</f>
        <v>10872688.366189146</v>
      </c>
      <c r="M7" s="53">
        <f>J7-((M6-J6+N("increased generation from NGCC"))*cPROilShare)</f>
        <v>10299731.225294953</v>
      </c>
      <c r="N7" s="53">
        <f>K7-((N6-K6+N("increased generation from NGCC"))*cPROilShare)</f>
        <v>9346924.2097460125</v>
      </c>
      <c r="O7" s="53">
        <f>L7-((O6-L6+N("increased generation from NGCC"))*cPROilShare)</f>
        <v>8634135.8843863718</v>
      </c>
    </row>
    <row r="8" spans="1:15" x14ac:dyDescent="0.2">
      <c r="A8" s="17" t="s">
        <v>180</v>
      </c>
      <c r="C8" s="54">
        <f>SUM('App 2 - Goals option 1'!F5:I5)</f>
        <v>713075.48660000018</v>
      </c>
      <c r="D8" s="55">
        <f>C8</f>
        <v>713075.48660000018</v>
      </c>
      <c r="E8" s="55">
        <f t="shared" ref="E8:F8" si="4">D8</f>
        <v>713075.48660000018</v>
      </c>
      <c r="F8" s="55">
        <f t="shared" si="4"/>
        <v>713075.48660000018</v>
      </c>
      <c r="G8" s="56">
        <f>D8- ('App 2 - Goals option 1'!AE5*'App 2 - Goals option 1'!$AP5)</f>
        <v>693684.63612242555</v>
      </c>
      <c r="H8" s="56">
        <f>E8- ('App 2 - Goals option 1'!AJ5*'App 2 - Goals option 1'!$AP5)</f>
        <v>611609.54720473755</v>
      </c>
      <c r="I8" s="56">
        <f>F8- ('App 2 - Goals option 1'!AN5*'App 2 - Goals option 1'!$AP5)</f>
        <v>550209.741967496</v>
      </c>
      <c r="J8" s="57">
        <f>G8-'App 2 - Goals option 1'!U5</f>
        <v>693684.63612242555</v>
      </c>
      <c r="K8" s="57">
        <f>H8-'App 2 - Goals option 1'!Z5</f>
        <v>611609.54720473755</v>
      </c>
      <c r="L8" s="57">
        <f>I8-'App 2 - Goals option 1'!AD5</f>
        <v>550209.741967496</v>
      </c>
      <c r="M8" s="42">
        <f>J8</f>
        <v>693684.63612242555</v>
      </c>
      <c r="N8" s="42">
        <f t="shared" ref="N8:O8" si="5">K8</f>
        <v>611609.54720473755</v>
      </c>
      <c r="O8" s="42">
        <f t="shared" si="5"/>
        <v>550209.741967496</v>
      </c>
    </row>
    <row r="10" spans="1:15" ht="18" thickBot="1" x14ac:dyDescent="0.35">
      <c r="C10" s="2" t="s">
        <v>287</v>
      </c>
      <c r="D10" s="2"/>
      <c r="E10" s="2"/>
    </row>
    <row r="11" spans="1:15" ht="13.5" thickTop="1" x14ac:dyDescent="0.2">
      <c r="C11" s="17">
        <v>2020</v>
      </c>
      <c r="D11" s="17">
        <v>2025</v>
      </c>
      <c r="E11" s="17">
        <v>2030</v>
      </c>
    </row>
    <row r="12" spans="1:15" x14ac:dyDescent="0.2">
      <c r="A12" s="17" t="s">
        <v>179</v>
      </c>
    </row>
    <row r="13" spans="1:15" x14ac:dyDescent="0.2">
      <c r="B13" s="28" t="s">
        <v>289</v>
      </c>
      <c r="C13" s="61">
        <f>cHRIEquipCost*SUMIFS(tPREGUs[Capacity (MW)],tPREGUs[Include?],"Y",tPREGUs[Fuel],"Coal")</f>
        <v>6492200</v>
      </c>
      <c r="D13" s="61">
        <f>cHRIEquipCost*SUMIFS(tPREGUs[Capacity (MW)],tPREGUs[Include?],"Y",tPREGUs[Fuel],"Coal")</f>
        <v>6492200</v>
      </c>
      <c r="E13" s="61">
        <f>cHRIEquipCost*SUMIFS(tPREGUs[Capacity (MW)],tPREGUs[Include?],"Y",tPREGUs[Fuel],"Coal")</f>
        <v>6492200</v>
      </c>
    </row>
    <row r="14" spans="1:15" x14ac:dyDescent="0.2">
      <c r="B14" s="28" t="s">
        <v>288</v>
      </c>
      <c r="C14" s="61">
        <f>(cLNGCost20PR*(M6-D6)*cHRNGCC)+(cCoalCost20PR*(M5-D5)*cHRCoal)+(cNo6Cost20PR*(M7-D7)*cHROil)+(cCoalCost20PR*M5*cHRCoal*-0.06+N("HRI fuel savings"))</f>
        <v>-159478962.82923219</v>
      </c>
      <c r="D14" s="61">
        <f>(cLNGCost25PR*(N6-E6)*cHRNGCC)+(cCoalCost25PR*(N5-E5)*cHRCoal)+(cNo6Cost25PR*(N7-E7)*cHROil)+(cCoalCost25PR*N5*cHRCoal*-0.06+N("HRI fuel savings"))</f>
        <v>-335901577.51267475</v>
      </c>
      <c r="E14" s="61">
        <f>(cLNGCost30PR*(O6-F6)*cHRNGCC)+(cCoalCost30PR*(O5-F5)*cHRCoal)+(cNo6Cost30PR*(O7-F7)*cHROil)+(cCoalCost30PR*O5*cHRCoal*-0.06+N("HRI fuel savings"))</f>
        <v>-507944425.43252909</v>
      </c>
    </row>
    <row r="15" spans="1:15" x14ac:dyDescent="0.2">
      <c r="B15" s="28" t="s">
        <v>50</v>
      </c>
      <c r="C15" s="62">
        <f>(((M5*'App 2 - Goals option 1'!$L4)-(D5*'App 2 - Goals option 1'!$B4))+((M6-D6)*'App 2 - Goals option 1'!$C4)+((M7-D7)*'App 2 - Goals option 1'!$D4))/cMT2LB</f>
        <v>-1581026.8613403603</v>
      </c>
      <c r="D15" s="62">
        <f>(((N5*'App 2 - Goals option 1'!$L4)-(E5*'App 2 - Goals option 1'!$B4))+((N6-E6)*'App 2 - Goals option 1'!$C4)+((N7-E7)*'App 2 - Goals option 1'!$D4))/cMT2LB</f>
        <v>-2355780.1056133895</v>
      </c>
      <c r="E15" s="62">
        <f>(((O5*'App 2 - Goals option 1'!$L4)-(F5*'App 2 - Goals option 1'!$B4))+((O6-F6)*'App 2 - Goals option 1'!$C4)+((O7-F7)*'App 2 - Goals option 1'!$D4))/cMT2LB</f>
        <v>-2935367.638597874</v>
      </c>
    </row>
    <row r="16" spans="1:15" x14ac:dyDescent="0.2">
      <c r="A16" s="17" t="s">
        <v>180</v>
      </c>
    </row>
    <row r="17" spans="1:15" x14ac:dyDescent="0.2">
      <c r="B17" s="28" t="s">
        <v>288</v>
      </c>
      <c r="C17" s="61">
        <f>(cNo6Cost20GM*(M8-D8)*cHROil)</f>
        <v>-2741065.4871402974</v>
      </c>
      <c r="D17" s="61">
        <f>(cNo6Cost25GM*(N8-E8)*cHROil)</f>
        <v>-16112877.158182174</v>
      </c>
      <c r="E17" s="61">
        <f>(cNo6Cost30GM*(O8-F8)*cHROil)</f>
        <v>-28413906.686964534</v>
      </c>
    </row>
    <row r="18" spans="1:15" x14ac:dyDescent="0.2">
      <c r="B18" s="28" t="s">
        <v>50</v>
      </c>
      <c r="C18" s="62">
        <f>((M8-D8)*'App 2 - Goals option 1'!$D5)/cMT2LB</f>
        <v>-17129.646579756452</v>
      </c>
      <c r="D18" s="62">
        <f>((N8-E8)*'App 2 - Goals option 1'!$D5)/cMT2LB</f>
        <v>-89633.803516452637</v>
      </c>
      <c r="E18" s="62">
        <f>((O8-F8)*'App 2 - Goals option 1'!$D5)/cMT2LB</f>
        <v>-143873.6608654728</v>
      </c>
    </row>
    <row r="20" spans="1:15" s="60" customFormat="1" ht="16.5" thickBot="1" x14ac:dyDescent="0.3">
      <c r="A20" s="59" t="s">
        <v>309</v>
      </c>
      <c r="B20" s="59"/>
      <c r="C20" s="63" t="s">
        <v>252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3.5" thickTop="1" x14ac:dyDescent="0.2">
      <c r="C21" s="48" t="s">
        <v>251</v>
      </c>
      <c r="D21" s="84" t="s">
        <v>255</v>
      </c>
      <c r="E21" s="84"/>
      <c r="F21" s="84"/>
      <c r="G21" s="85" t="s">
        <v>249</v>
      </c>
      <c r="H21" s="85"/>
      <c r="I21" s="85"/>
      <c r="J21" s="86" t="s">
        <v>248</v>
      </c>
      <c r="K21" s="86"/>
      <c r="L21" s="86"/>
      <c r="M21" s="87" t="s">
        <v>250</v>
      </c>
      <c r="N21" s="87"/>
      <c r="O21" s="87"/>
    </row>
    <row r="22" spans="1:15" x14ac:dyDescent="0.2">
      <c r="C22" s="49">
        <v>2012</v>
      </c>
      <c r="D22" s="50">
        <v>2020</v>
      </c>
      <c r="E22" s="50">
        <v>2025</v>
      </c>
      <c r="F22" s="50">
        <v>2030</v>
      </c>
      <c r="G22" s="51">
        <v>2020</v>
      </c>
      <c r="H22" s="51">
        <v>2025</v>
      </c>
      <c r="I22" s="51">
        <v>2030</v>
      </c>
      <c r="J22" s="52">
        <v>2020</v>
      </c>
      <c r="K22" s="52">
        <v>2025</v>
      </c>
      <c r="L22" s="52">
        <v>2030</v>
      </c>
      <c r="M22" s="53">
        <v>2020</v>
      </c>
      <c r="N22" s="53">
        <v>2025</v>
      </c>
      <c r="O22" s="53">
        <v>2030</v>
      </c>
    </row>
    <row r="23" spans="1:15" x14ac:dyDescent="0.2">
      <c r="A23" s="17" t="s">
        <v>179</v>
      </c>
      <c r="C23" s="54">
        <f>SUM(C24:C26)</f>
        <v>19983504.16042947</v>
      </c>
      <c r="D23" s="55">
        <f t="shared" ref="D23:O23" si="6">SUM(D24:D26)</f>
        <v>19983504.16042947</v>
      </c>
      <c r="E23" s="55">
        <f t="shared" si="6"/>
        <v>19983504.16042947</v>
      </c>
      <c r="F23" s="55">
        <f t="shared" si="6"/>
        <v>19983504.16042947</v>
      </c>
      <c r="G23" s="56">
        <f t="shared" si="6"/>
        <v>19758396.413168635</v>
      </c>
      <c r="H23" s="56">
        <f t="shared" si="6"/>
        <v>18805589.397619694</v>
      </c>
      <c r="I23" s="56">
        <f t="shared" si="6"/>
        <v>18092801.072260052</v>
      </c>
      <c r="J23" s="57">
        <f t="shared" si="6"/>
        <v>19657304.047186013</v>
      </c>
      <c r="K23" s="57">
        <f t="shared" si="6"/>
        <v>18652455.426821291</v>
      </c>
      <c r="L23" s="57">
        <f t="shared" si="6"/>
        <v>17879322.597879034</v>
      </c>
      <c r="M23" s="42">
        <f t="shared" si="6"/>
        <v>19657304.047186017</v>
      </c>
      <c r="N23" s="42">
        <f t="shared" si="6"/>
        <v>18652455.426821295</v>
      </c>
      <c r="O23" s="42">
        <f t="shared" si="6"/>
        <v>17879322.597879037</v>
      </c>
    </row>
    <row r="24" spans="1:15" hidden="1" x14ac:dyDescent="0.2">
      <c r="B24" s="17" t="s">
        <v>125</v>
      </c>
      <c r="C24" s="54">
        <f>'App 2 - Goals option 1'!F14</f>
        <v>3417319.9074880593</v>
      </c>
      <c r="D24" s="55">
        <f t="shared" ref="D24:E26" si="7">C24</f>
        <v>3417319.9074880593</v>
      </c>
      <c r="E24" s="55">
        <f t="shared" si="7"/>
        <v>3417319.9074880593</v>
      </c>
      <c r="F24" s="55">
        <f>D24</f>
        <v>3417319.9074880593</v>
      </c>
      <c r="G24" s="56">
        <f>D24</f>
        <v>3417319.9074880593</v>
      </c>
      <c r="H24" s="56">
        <f t="shared" ref="H24:H25" si="8">E24</f>
        <v>3417319.9074880593</v>
      </c>
      <c r="I24" s="56">
        <f t="shared" ref="I24:I25" si="9">F24</f>
        <v>3417319.9074880593</v>
      </c>
      <c r="J24" s="57">
        <f>G24</f>
        <v>3417319.9074880593</v>
      </c>
      <c r="K24" s="57">
        <f t="shared" ref="K24:K25" si="10">H24</f>
        <v>3417319.9074880593</v>
      </c>
      <c r="L24" s="57">
        <f t="shared" ref="L24:L25" si="11">I24</f>
        <v>3417319.9074880593</v>
      </c>
      <c r="M24" s="42">
        <f>J24-((M25-J25+N("increased generation from NGCC"))*cPRCoalShare)</f>
        <v>2817961.1878736829</v>
      </c>
      <c r="N24" s="42">
        <f>K24-((N25-K25+N("increased generation from NGCC"))*cPRCoalShare)</f>
        <v>2817961.1878736829</v>
      </c>
      <c r="O24" s="42">
        <f>L24-((O25-L25+N("increased generation from NGCC"))*cPRCoalShare)</f>
        <v>2817961.1878736829</v>
      </c>
    </row>
    <row r="25" spans="1:15" hidden="1" x14ac:dyDescent="0.2">
      <c r="B25" s="17" t="s">
        <v>253</v>
      </c>
      <c r="C25" s="54">
        <f>'App 2 - Goals option 1'!G14</f>
        <v>3802792.7985828486</v>
      </c>
      <c r="D25" s="55">
        <f t="shared" si="7"/>
        <v>3802792.7985828486</v>
      </c>
      <c r="E25" s="55">
        <f t="shared" si="7"/>
        <v>3802792.7985828486</v>
      </c>
      <c r="F25" s="55">
        <f>D25</f>
        <v>3802792.7985828486</v>
      </c>
      <c r="G25" s="56">
        <f>D25</f>
        <v>3802792.7985828486</v>
      </c>
      <c r="H25" s="56">
        <f t="shared" si="8"/>
        <v>3802792.7985828486</v>
      </c>
      <c r="I25" s="56">
        <f t="shared" si="9"/>
        <v>3802792.7985828486</v>
      </c>
      <c r="J25" s="57">
        <f>G25</f>
        <v>3802792.7985828486</v>
      </c>
      <c r="K25" s="57">
        <f t="shared" si="10"/>
        <v>3802792.7985828486</v>
      </c>
      <c r="L25" s="57">
        <f t="shared" si="11"/>
        <v>3802792.7985828486</v>
      </c>
      <c r="M25" s="53">
        <f>'App 2 - Goals option 1'!$J14*cOpt1NGCC*cHours</f>
        <v>6640704</v>
      </c>
      <c r="N25" s="53">
        <f>'App 2 - Goals option 1'!$J14*cOpt1NGCC*cHours</f>
        <v>6640704</v>
      </c>
      <c r="O25" s="53">
        <f>'App 2 - Goals option 1'!$J14*cOpt1NGCC*cHours</f>
        <v>6640704</v>
      </c>
    </row>
    <row r="26" spans="1:15" hidden="1" x14ac:dyDescent="0.2">
      <c r="B26" s="17" t="s">
        <v>254</v>
      </c>
      <c r="C26" s="54">
        <f>'App 2 - Goals option 1'!H14</f>
        <v>12763391.454358565</v>
      </c>
      <c r="D26" s="55">
        <f t="shared" si="7"/>
        <v>12763391.454358565</v>
      </c>
      <c r="E26" s="55">
        <f t="shared" si="7"/>
        <v>12763391.454358565</v>
      </c>
      <c r="F26" s="55">
        <f>D26</f>
        <v>12763391.454358565</v>
      </c>
      <c r="G26" s="56">
        <f>D26- ('App 2 - Goals option 1'!AE14*'App 2 - Goals option 1'!$AP14)</f>
        <v>12538283.707097728</v>
      </c>
      <c r="H26" s="56">
        <f>E26- ('App 2 - Goals option 1'!AJ14*'App 2 - Goals option 1'!$AP14)</f>
        <v>11585476.691548787</v>
      </c>
      <c r="I26" s="56">
        <f>F26- ('App 2 - Goals option 1'!AN14*'App 2 - Goals option 1'!$AP14)</f>
        <v>10872688.366189146</v>
      </c>
      <c r="J26" s="57">
        <f>G26-'App 2 - Goals option 1'!U14</f>
        <v>12437191.341115106</v>
      </c>
      <c r="K26" s="57">
        <f>H26-'App 2 - Goals option 1'!Z14</f>
        <v>11432342.720750386</v>
      </c>
      <c r="L26" s="57">
        <f>I26-'App 2 - Goals option 1'!AD14</f>
        <v>10659209.891808126</v>
      </c>
      <c r="M26" s="53">
        <f>J26-((M25-J25+N("increased generation from NGCC"))*cPROilShare)</f>
        <v>10198638.859312331</v>
      </c>
      <c r="N26" s="53">
        <f>K26-((N25-K25+N("increased generation from NGCC"))*cPROilShare)</f>
        <v>9193790.2389476113</v>
      </c>
      <c r="O26" s="53">
        <f>L26-((O25-L25+N("increased generation from NGCC"))*cPROilShare)</f>
        <v>8420657.4100053515</v>
      </c>
    </row>
    <row r="27" spans="1:15" x14ac:dyDescent="0.2">
      <c r="A27" s="17" t="s">
        <v>180</v>
      </c>
      <c r="C27" s="54">
        <f>SUM('App 2 - Goals option 1'!F15:I15)</f>
        <v>713075.48660000018</v>
      </c>
      <c r="D27" s="55">
        <f>C27</f>
        <v>713075.48660000018</v>
      </c>
      <c r="E27" s="55">
        <f t="shared" ref="E27:F27" si="12">D27</f>
        <v>713075.48660000018</v>
      </c>
      <c r="F27" s="55">
        <f t="shared" si="12"/>
        <v>713075.48660000018</v>
      </c>
      <c r="G27" s="56">
        <f>D27- ('App 2 - Goals option 1'!AE15*'App 2 - Goals option 1'!$AP15)</f>
        <v>693684.63612242555</v>
      </c>
      <c r="H27" s="56">
        <f>E27- ('App 2 - Goals option 1'!AJ15*'App 2 - Goals option 1'!$AP15)</f>
        <v>611609.54720473755</v>
      </c>
      <c r="I27" s="56">
        <f>F27- ('App 2 - Goals option 1'!AN15*'App 2 - Goals option 1'!$AP15)</f>
        <v>550209.741967496</v>
      </c>
      <c r="J27" s="57">
        <f>G27-'App 2 - Goals option 1'!U15</f>
        <v>685692.27695120207</v>
      </c>
      <c r="K27" s="57">
        <f>H27-'App 2 - Goals option 1'!Z15</f>
        <v>599502.78044702951</v>
      </c>
      <c r="L27" s="57">
        <f>I27-'App 2 - Goals option 1'!AD15</f>
        <v>533332.14071646554</v>
      </c>
      <c r="M27" s="42">
        <f>J27</f>
        <v>685692.27695120207</v>
      </c>
      <c r="N27" s="42">
        <f t="shared" ref="N27" si="13">K27</f>
        <v>599502.78044702951</v>
      </c>
      <c r="O27" s="42">
        <f t="shared" ref="O27" si="14">L27</f>
        <v>533332.14071646554</v>
      </c>
    </row>
    <row r="29" spans="1:15" ht="18" thickBot="1" x14ac:dyDescent="0.35">
      <c r="C29" s="2" t="s">
        <v>287</v>
      </c>
      <c r="D29" s="2"/>
      <c r="E29" s="2"/>
    </row>
    <row r="30" spans="1:15" ht="13.5" thickTop="1" x14ac:dyDescent="0.2">
      <c r="C30" s="17">
        <v>2020</v>
      </c>
      <c r="D30" s="17">
        <v>2025</v>
      </c>
      <c r="E30" s="17">
        <v>2030</v>
      </c>
    </row>
    <row r="31" spans="1:15" x14ac:dyDescent="0.2">
      <c r="A31" s="17" t="s">
        <v>179</v>
      </c>
    </row>
    <row r="32" spans="1:15" x14ac:dyDescent="0.2">
      <c r="B32" s="17" t="s">
        <v>289</v>
      </c>
      <c r="C32" s="61">
        <f>cHRIEquipCost*SUMIFS(tPREGUs[Capacity (MW)],tPREGUs[Include?],"Y",tPREGUs[Fuel],"Coal")</f>
        <v>6492200</v>
      </c>
      <c r="D32" s="61">
        <f>cHRIEquipCost*SUMIFS(tPREGUs[Capacity (MW)],tPREGUs[Include?],"Y",tPREGUs[Fuel],"Coal")</f>
        <v>6492200</v>
      </c>
      <c r="E32" s="61">
        <f>cHRIEquipCost*SUMIFS(tPREGUs[Capacity (MW)],tPREGUs[Include?],"Y",tPREGUs[Fuel],"Coal")</f>
        <v>6492200</v>
      </c>
    </row>
    <row r="33" spans="1:11" x14ac:dyDescent="0.2">
      <c r="B33" s="17" t="s">
        <v>288</v>
      </c>
      <c r="C33" s="61">
        <f>(cLNGCost20PR*(M25-D25)*cHRNGCC)+(cCoalCost20PR*(M24-D24)*cHRCoal)+(cNo6Cost20PR*(M26-D26)*cHROil)+(cCoalCost20PR*M24*cHRCoal*-0.06+N("HRI fuel savings"))</f>
        <v>-173292940.06961492</v>
      </c>
      <c r="D33" s="61">
        <f>(cLNGCost25PR*(N25-E25)*cHRNGCC)+(cCoalCost25PR*(N24-E24)*cHRCoal)+(cNo6Cost25PR*(N26-E26)*cHROil)+(cCoalCost25PR*N24*cHRCoal*-0.06+N("HRI fuel savings"))</f>
        <v>-359496314.79799986</v>
      </c>
      <c r="E33" s="61">
        <f>(cLNGCost30PR*(O25-F25)*cHRNGCC)+(cCoalCost30PR*(O24-F24)*cHRCoal)+(cNo6Cost30PR*(O26-F26)*cHROil)+(cCoalCost30PR*O24*cHRCoal*-0.06+N("HRI fuel savings"))</f>
        <v>-544708233.27896523</v>
      </c>
    </row>
    <row r="34" spans="1:11" x14ac:dyDescent="0.2">
      <c r="B34" s="17" t="s">
        <v>50</v>
      </c>
      <c r="C34" s="62">
        <f>(((M24*'App 2 - Goals option 1'!$L4)-(D24*'App 2 - Goals option 1'!$B4))+((M25-D25)*'App 2 - Goals option 1'!$C4)+((M26-D26)*'App 2 - Goals option 1'!$D4))/cMT2LB</f>
        <v>-1663227.807846982</v>
      </c>
      <c r="D34" s="62">
        <f>(((N24*'App 2 - Goals option 1'!$L4)-(E24*'App 2 - Goals option 1'!$B4))+((N25-E25)*'App 2 - Goals option 1'!$C4)+((N26-E26)*'App 2 - Goals option 1'!$D4))/cMT2LB</f>
        <v>-2480297.4934457196</v>
      </c>
      <c r="E34" s="62">
        <f>(((O24*'App 2 - Goals option 1'!$L4)-(F24*'App 2 - Goals option 1'!$B4))+((O25-F25)*'App 2 - Goals option 1'!$C4)+((O26-F26)*'App 2 - Goals option 1'!$D4))/cMT2LB</f>
        <v>-3108952.7800904196</v>
      </c>
    </row>
    <row r="35" spans="1:11" x14ac:dyDescent="0.2">
      <c r="A35" s="17" t="s">
        <v>180</v>
      </c>
    </row>
    <row r="36" spans="1:11" x14ac:dyDescent="0.2">
      <c r="B36" s="17" t="s">
        <v>288</v>
      </c>
      <c r="C36" s="61">
        <f>(cNo6Cost20GM*(M27-D27)*cHROil)</f>
        <v>-3870855.0190850594</v>
      </c>
      <c r="D36" s="61">
        <f>(cNo6Cost25GM*(N27-E27)*cHROil)</f>
        <v>-18035441.978577666</v>
      </c>
      <c r="E36" s="61">
        <f>(cNo6Cost30GM*(O27-F27)*cHROil)</f>
        <v>-31358409.15510888</v>
      </c>
    </row>
    <row r="37" spans="1:11" x14ac:dyDescent="0.2">
      <c r="B37" s="17" t="s">
        <v>50</v>
      </c>
      <c r="C37" s="62">
        <f>((M27-D27)*'App 2 - Goals option 1'!$D15)/cMT2LB</f>
        <v>-24190.001570367331</v>
      </c>
      <c r="D37" s="62">
        <f>((N27-E27)*'App 2 - Goals option 1'!$D15)/cMT2LB</f>
        <v>-100328.77721154258</v>
      </c>
      <c r="E37" s="62">
        <f>((O27-F27)*'App 2 - Goals option 1'!$D15)/cMT2LB</f>
        <v>-158783.13298370491</v>
      </c>
    </row>
    <row r="39" spans="1:11" ht="16.5" thickBot="1" x14ac:dyDescent="0.3">
      <c r="A39" s="59" t="s">
        <v>310</v>
      </c>
      <c r="B39" s="59"/>
      <c r="C39" s="59" t="s">
        <v>252</v>
      </c>
      <c r="D39" s="59"/>
      <c r="E39" s="59"/>
      <c r="F39" s="59"/>
      <c r="G39" s="59"/>
      <c r="H39" s="59"/>
      <c r="I39" s="59"/>
      <c r="J39" s="59"/>
      <c r="K39" s="59"/>
    </row>
    <row r="40" spans="1:11" ht="13.5" thickTop="1" x14ac:dyDescent="0.2">
      <c r="C40" s="48" t="s">
        <v>251</v>
      </c>
      <c r="D40" s="88" t="s">
        <v>255</v>
      </c>
      <c r="E40" s="89"/>
      <c r="F40" s="90" t="s">
        <v>249</v>
      </c>
      <c r="G40" s="91"/>
      <c r="H40" s="92" t="s">
        <v>248</v>
      </c>
      <c r="I40" s="93"/>
      <c r="J40" s="94" t="s">
        <v>250</v>
      </c>
      <c r="K40" s="95"/>
    </row>
    <row r="41" spans="1:11" x14ac:dyDescent="0.2">
      <c r="C41" s="49">
        <v>2012</v>
      </c>
      <c r="D41" s="50">
        <v>2020</v>
      </c>
      <c r="E41" s="50">
        <v>2025</v>
      </c>
      <c r="F41" s="51">
        <v>2020</v>
      </c>
      <c r="G41" s="51">
        <v>2025</v>
      </c>
      <c r="H41" s="52">
        <v>2020</v>
      </c>
      <c r="I41" s="52">
        <v>2025</v>
      </c>
      <c r="J41" s="53">
        <v>2020</v>
      </c>
      <c r="K41" s="53">
        <v>2025</v>
      </c>
    </row>
    <row r="42" spans="1:11" x14ac:dyDescent="0.2">
      <c r="A42" s="17" t="s">
        <v>179</v>
      </c>
      <c r="C42" s="54">
        <f t="shared" ref="C42:K42" si="15">SUM(C43:C45)</f>
        <v>19983504.16042947</v>
      </c>
      <c r="D42" s="55">
        <f t="shared" si="15"/>
        <v>19983504.16042947</v>
      </c>
      <c r="E42" s="55">
        <f t="shared" si="15"/>
        <v>19983504.16042947</v>
      </c>
      <c r="F42" s="56">
        <f t="shared" si="15"/>
        <v>19814516.522939846</v>
      </c>
      <c r="G42" s="56">
        <f t="shared" si="15"/>
        <v>19272032.663689543</v>
      </c>
      <c r="H42" s="57">
        <f t="shared" si="15"/>
        <v>19814516.522939846</v>
      </c>
      <c r="I42" s="57">
        <f t="shared" si="15"/>
        <v>19272032.663689543</v>
      </c>
      <c r="J42" s="42">
        <f t="shared" si="15"/>
        <v>19814516.52293985</v>
      </c>
      <c r="K42" s="42">
        <f t="shared" si="15"/>
        <v>19272032.663689546</v>
      </c>
    </row>
    <row r="43" spans="1:11" hidden="1" x14ac:dyDescent="0.2">
      <c r="B43" s="17" t="s">
        <v>125</v>
      </c>
      <c r="C43" s="54">
        <f>'App 2 - Goals option 2'!F4</f>
        <v>3417319.9074880593</v>
      </c>
      <c r="D43" s="55">
        <f t="shared" ref="D43:E43" si="16">C43</f>
        <v>3417319.9074880593</v>
      </c>
      <c r="E43" s="55">
        <f t="shared" si="16"/>
        <v>3417319.9074880593</v>
      </c>
      <c r="F43" s="56">
        <f t="shared" ref="F43:I44" si="17">D43</f>
        <v>3417319.9074880593</v>
      </c>
      <c r="G43" s="56">
        <f t="shared" si="17"/>
        <v>3417319.9074880593</v>
      </c>
      <c r="H43" s="57">
        <f t="shared" si="17"/>
        <v>3417319.9074880593</v>
      </c>
      <c r="I43" s="57">
        <f t="shared" si="17"/>
        <v>3417319.9074880593</v>
      </c>
      <c r="J43" s="42">
        <f>H43-((J44-H44+N("increased generation from NGCC"))*cPRCoalShare)</f>
        <v>2817961.1878736829</v>
      </c>
      <c r="K43" s="42">
        <f>I43-((K44-I44+N("increased generation from NGCC"))*cPRCoalShare)</f>
        <v>2817961.1878736829</v>
      </c>
    </row>
    <row r="44" spans="1:11" hidden="1" x14ac:dyDescent="0.2">
      <c r="B44" s="17" t="s">
        <v>253</v>
      </c>
      <c r="C44" s="54">
        <f>'App 2 - Goals option 2'!G4</f>
        <v>3802792.7985828486</v>
      </c>
      <c r="D44" s="55">
        <f t="shared" ref="D44:E44" si="18">C44</f>
        <v>3802792.7985828486</v>
      </c>
      <c r="E44" s="55">
        <f t="shared" si="18"/>
        <v>3802792.7985828486</v>
      </c>
      <c r="F44" s="56">
        <f t="shared" si="17"/>
        <v>3802792.7985828486</v>
      </c>
      <c r="G44" s="56">
        <f t="shared" si="17"/>
        <v>3802792.7985828486</v>
      </c>
      <c r="H44" s="57">
        <f t="shared" si="17"/>
        <v>3802792.7985828486</v>
      </c>
      <c r="I44" s="57">
        <f t="shared" si="17"/>
        <v>3802792.7985828486</v>
      </c>
      <c r="J44" s="42">
        <f>'App 2 - Goals option 2'!$J$4*cOpt1NGCC*cHours</f>
        <v>6640704</v>
      </c>
      <c r="K44" s="42">
        <f>'App 2 - Goals option 2'!$J$4*cOpt1NGCC*cHours</f>
        <v>6640704</v>
      </c>
    </row>
    <row r="45" spans="1:11" hidden="1" x14ac:dyDescent="0.2">
      <c r="B45" s="17" t="s">
        <v>254</v>
      </c>
      <c r="C45" s="54">
        <f>'App 2 - Goals option 2'!H4</f>
        <v>12763391.454358565</v>
      </c>
      <c r="D45" s="55">
        <f t="shared" ref="D45:E46" si="19">C45</f>
        <v>12763391.454358565</v>
      </c>
      <c r="E45" s="55">
        <f t="shared" si="19"/>
        <v>12763391.454358565</v>
      </c>
      <c r="F45" s="56">
        <f>D45- ('App 2 - Goals option 2'!Z4*'App 2 - Goals option 2'!$AF4)</f>
        <v>12594403.81686894</v>
      </c>
      <c r="G45" s="56">
        <f>E45- ('App 2 - Goals option 2'!AD4*'App 2 - Goals option 2'!$AF4)</f>
        <v>12051919.957618635</v>
      </c>
      <c r="H45" s="57">
        <f>F45-'App 2 - Goals option 2'!U4</f>
        <v>12594403.81686894</v>
      </c>
      <c r="I45" s="57">
        <f>G45-'App 2 - Goals option 2'!Y4</f>
        <v>12051919.957618635</v>
      </c>
      <c r="J45" s="42">
        <f>H45-((J44-H44+N("increased generation from NGCC"))*cPROilShare)</f>
        <v>10355851.335066166</v>
      </c>
      <c r="K45" s="42">
        <f>I45-((K44-I44+N("increased generation from NGCC"))*cPROilShare)</f>
        <v>9813367.4758158606</v>
      </c>
    </row>
    <row r="46" spans="1:11" x14ac:dyDescent="0.2">
      <c r="A46" s="17" t="s">
        <v>180</v>
      </c>
      <c r="C46" s="54">
        <f>SUM('App 2 - Goals option 2'!F5:I5)</f>
        <v>713075.48660000018</v>
      </c>
      <c r="D46" s="55">
        <f>C46</f>
        <v>713075.48660000018</v>
      </c>
      <c r="E46" s="55">
        <f t="shared" si="19"/>
        <v>713075.48660000018</v>
      </c>
      <c r="F46" s="56">
        <f>D46- ('App 2 - Goals option 2'!Z5*'App 2 - Goals option 2'!$AF5)</f>
        <v>698518.83961208921</v>
      </c>
      <c r="G46" s="56">
        <f>E46- ('App 2 - Goals option 2'!AD5*'App 2 - Goals option 2'!$AF5)</f>
        <v>651789.11338444636</v>
      </c>
      <c r="H46" s="57">
        <f>F46-'App 2 - Goals option 2'!U5</f>
        <v>698518.83961208921</v>
      </c>
      <c r="I46" s="57">
        <f>G46-'App 2 - Goals option 2'!Y5</f>
        <v>651789.11338444636</v>
      </c>
      <c r="J46" s="42">
        <f>H46</f>
        <v>698518.83961208921</v>
      </c>
      <c r="K46" s="42">
        <f>I46</f>
        <v>651789.11338444636</v>
      </c>
    </row>
    <row r="48" spans="1:11" ht="18" thickBot="1" x14ac:dyDescent="0.35">
      <c r="C48" s="2" t="s">
        <v>287</v>
      </c>
      <c r="D48" s="2"/>
      <c r="E48" s="2"/>
    </row>
    <row r="49" spans="1:11" ht="13.5" thickTop="1" x14ac:dyDescent="0.2">
      <c r="C49" s="17">
        <v>2020</v>
      </c>
      <c r="D49" s="17">
        <v>2025</v>
      </c>
    </row>
    <row r="50" spans="1:11" x14ac:dyDescent="0.2">
      <c r="A50" s="17" t="s">
        <v>179</v>
      </c>
    </row>
    <row r="51" spans="1:11" x14ac:dyDescent="0.2">
      <c r="B51" s="28" t="s">
        <v>289</v>
      </c>
      <c r="C51" s="61">
        <f>cHRIEquipCost*SUMIFS(tPREGUs[Capacity (MW)],tPREGUs[Include?],"Y",tPREGUs[Fuel],"Coal")</f>
        <v>6492200</v>
      </c>
      <c r="D51" s="61">
        <f>cHRIEquipCost*SUMIFS(tPREGUs[Capacity (MW)],tPREGUs[Include?],"Y",tPREGUs[Fuel],"Coal")</f>
        <v>6492200</v>
      </c>
    </row>
    <row r="52" spans="1:11" x14ac:dyDescent="0.2">
      <c r="B52" s="28" t="s">
        <v>288</v>
      </c>
      <c r="C52" s="61">
        <f>(cLNGCost20PR*(J44-D44)*cHRNGCC)+(cCoalCost20PR*(J43-D43)*cHRCoal)+(cNo6Cost20PR*(J45-D45)*cHROil)+(cCoalCost20PR*J43*cHRCoal*-0.04+N("HRI fuel savings"))</f>
        <v>-149911674.61742976</v>
      </c>
      <c r="D52" s="61">
        <f>(cLNGCost25PR*(K44-E44)*cHRNGCC)+(cCoalCost25PR*(K43-E43)*cHRCoal)+(cNo6Cost25PR*(K45-E45)*cHROil)+(cCoalCost25PR*K43*cHRCoal*-0.04+N("HRI fuel savings"))</f>
        <v>-262054342.12600738</v>
      </c>
    </row>
    <row r="53" spans="1:11" x14ac:dyDescent="0.2">
      <c r="B53" s="28" t="s">
        <v>50</v>
      </c>
      <c r="C53" s="62">
        <f>(((J43*'App 2 - Goals option 2'!$L4)-(D43*'App 2 - Goals option 2'!$B4))+((J44-D44)*'App 2 - Goals option 2'!$C4)+((J45-D45)*'App 2 - Goals option 2'!$D4))/cMT2LB</f>
        <v>-1478764.8408790564</v>
      </c>
      <c r="D53" s="62">
        <f>(((K43*'App 2 - Goals option 2'!$L4)-(E43*'App 2 - Goals option 2'!$B4))+((K44-E44)*'App 2 - Goals option 2'!$C4)+((K45-E45)*'App 2 - Goals option 2'!$D4))/cMT2LB</f>
        <v>-1919873.1902731722</v>
      </c>
    </row>
    <row r="54" spans="1:11" x14ac:dyDescent="0.2">
      <c r="A54" s="17" t="s">
        <v>180</v>
      </c>
    </row>
    <row r="55" spans="1:11" x14ac:dyDescent="0.2">
      <c r="B55" s="28" t="s">
        <v>288</v>
      </c>
      <c r="C55" s="61">
        <f>(cNo6Cost20GM*(J46-D46)*cHROil)</f>
        <v>-2057708.7484219633</v>
      </c>
      <c r="D55" s="61">
        <f>(cNo6Cost25GM*(K46-E46)*cHROil)</f>
        <v>-9732328.0006889738</v>
      </c>
    </row>
    <row r="56" spans="1:11" x14ac:dyDescent="0.2">
      <c r="B56" s="28" t="s">
        <v>50</v>
      </c>
      <c r="C56" s="62">
        <f>((J46-D46)*'App 2 - Goals option 2'!$D15)/cMT2LB</f>
        <v>-12859.168739275399</v>
      </c>
      <c r="D56" s="62">
        <f>((K46-E46)*'App 2 - Goals option 2'!$D15)/cMT2LB</f>
        <v>-54139.652850791193</v>
      </c>
    </row>
    <row r="57" spans="1:11" x14ac:dyDescent="0.2">
      <c r="B57" s="64"/>
      <c r="C57" s="65"/>
      <c r="D57" s="65"/>
    </row>
    <row r="58" spans="1:11" x14ac:dyDescent="0.2">
      <c r="B58" s="64"/>
      <c r="C58" s="65"/>
      <c r="D58" s="65"/>
    </row>
    <row r="59" spans="1:11" ht="16.5" thickBot="1" x14ac:dyDescent="0.3">
      <c r="A59" s="59" t="s">
        <v>311</v>
      </c>
      <c r="B59" s="59"/>
      <c r="C59" s="59" t="s">
        <v>252</v>
      </c>
      <c r="D59" s="59"/>
      <c r="E59" s="59"/>
      <c r="F59" s="59"/>
      <c r="G59" s="59"/>
      <c r="H59" s="59"/>
      <c r="I59" s="59"/>
      <c r="J59" s="59"/>
      <c r="K59" s="59"/>
    </row>
    <row r="60" spans="1:11" ht="13.5" thickTop="1" x14ac:dyDescent="0.2">
      <c r="C60" s="48" t="s">
        <v>251</v>
      </c>
      <c r="D60" s="88" t="s">
        <v>255</v>
      </c>
      <c r="E60" s="89"/>
      <c r="F60" s="90" t="s">
        <v>249</v>
      </c>
      <c r="G60" s="91"/>
      <c r="H60" s="92" t="s">
        <v>248</v>
      </c>
      <c r="I60" s="93"/>
      <c r="J60" s="94" t="s">
        <v>250</v>
      </c>
      <c r="K60" s="95"/>
    </row>
    <row r="61" spans="1:11" x14ac:dyDescent="0.2">
      <c r="C61" s="49">
        <v>2012</v>
      </c>
      <c r="D61" s="50">
        <v>2020</v>
      </c>
      <c r="E61" s="50">
        <v>2025</v>
      </c>
      <c r="F61" s="51">
        <v>2020</v>
      </c>
      <c r="G61" s="51">
        <v>2025</v>
      </c>
      <c r="H61" s="52">
        <v>2020</v>
      </c>
      <c r="I61" s="52">
        <v>2025</v>
      </c>
      <c r="J61" s="53">
        <v>2020</v>
      </c>
      <c r="K61" s="53">
        <v>2025</v>
      </c>
    </row>
    <row r="62" spans="1:11" x14ac:dyDescent="0.2">
      <c r="A62" s="17" t="s">
        <v>179</v>
      </c>
      <c r="C62" s="54">
        <f t="shared" ref="C62" si="20">SUM(C63:C65)</f>
        <v>19983504.16042947</v>
      </c>
      <c r="D62" s="55">
        <f t="shared" ref="D62" si="21">SUM(D63:D65)</f>
        <v>19983504.16042947</v>
      </c>
      <c r="E62" s="55">
        <f t="shared" ref="E62" si="22">SUM(E63:E65)</f>
        <v>19983504.16042947</v>
      </c>
      <c r="F62" s="56">
        <f t="shared" ref="F62" si="23">SUM(F63:F65)</f>
        <v>19814516.522939846</v>
      </c>
      <c r="G62" s="56">
        <f t="shared" ref="G62" si="24">SUM(G63:G65)</f>
        <v>19272032.663689543</v>
      </c>
      <c r="H62" s="57">
        <f t="shared" ref="H62" si="25">SUM(H63:H65)</f>
        <v>19713424.156957224</v>
      </c>
      <c r="I62" s="57">
        <f t="shared" ref="I62" si="26">SUM(I63:I65)</f>
        <v>19131103.489391901</v>
      </c>
      <c r="J62" s="42">
        <f t="shared" ref="J62" si="27">SUM(J63:J65)</f>
        <v>19713424.156957228</v>
      </c>
      <c r="K62" s="42">
        <f t="shared" ref="K62" si="28">SUM(K63:K65)</f>
        <v>19131103.489391901</v>
      </c>
    </row>
    <row r="63" spans="1:11" hidden="1" x14ac:dyDescent="0.2">
      <c r="B63" s="17" t="s">
        <v>125</v>
      </c>
      <c r="C63" s="54">
        <f>'App 2 - Goals option 2'!F14</f>
        <v>3417319.9074880593</v>
      </c>
      <c r="D63" s="55">
        <f t="shared" ref="D63:D65" si="29">C63</f>
        <v>3417319.9074880593</v>
      </c>
      <c r="E63" s="55">
        <f t="shared" ref="E63:E66" si="30">D63</f>
        <v>3417319.9074880593</v>
      </c>
      <c r="F63" s="56">
        <f t="shared" ref="F63:I64" si="31">D63</f>
        <v>3417319.9074880593</v>
      </c>
      <c r="G63" s="56">
        <f t="shared" si="31"/>
        <v>3417319.9074880593</v>
      </c>
      <c r="H63" s="57">
        <f t="shared" si="31"/>
        <v>3417319.9074880593</v>
      </c>
      <c r="I63" s="57">
        <f t="shared" si="31"/>
        <v>3417319.9074880593</v>
      </c>
      <c r="J63" s="42">
        <f>H63-((J64-H64+N("increased generation from NGCC"))*cPRCoalShare)</f>
        <v>2817961.1878736829</v>
      </c>
      <c r="K63" s="42">
        <f>I63-((K64-I64+N("increased generation from NGCC"))*cPRCoalShare)</f>
        <v>2817961.1878736829</v>
      </c>
    </row>
    <row r="64" spans="1:11" hidden="1" x14ac:dyDescent="0.2">
      <c r="B64" s="17" t="s">
        <v>253</v>
      </c>
      <c r="C64" s="54">
        <f>'App 2 - Goals option 2'!G14</f>
        <v>3802792.7985828486</v>
      </c>
      <c r="D64" s="55">
        <f t="shared" si="29"/>
        <v>3802792.7985828486</v>
      </c>
      <c r="E64" s="55">
        <f t="shared" si="30"/>
        <v>3802792.7985828486</v>
      </c>
      <c r="F64" s="56">
        <f t="shared" si="31"/>
        <v>3802792.7985828486</v>
      </c>
      <c r="G64" s="56">
        <f t="shared" si="31"/>
        <v>3802792.7985828486</v>
      </c>
      <c r="H64" s="57">
        <f t="shared" si="31"/>
        <v>3802792.7985828486</v>
      </c>
      <c r="I64" s="57">
        <f t="shared" si="31"/>
        <v>3802792.7985828486</v>
      </c>
      <c r="J64" s="42">
        <f>'App 2 - Goals option 2'!$J14*cOpt1NGCC*cHours</f>
        <v>6640704</v>
      </c>
      <c r="K64" s="42">
        <f>'App 2 - Goals option 2'!$J14*cOpt1NGCC*cHours</f>
        <v>6640704</v>
      </c>
    </row>
    <row r="65" spans="1:11" hidden="1" x14ac:dyDescent="0.2">
      <c r="B65" s="17" t="s">
        <v>254</v>
      </c>
      <c r="C65" s="54">
        <f>'App 2 - Goals option 2'!H14</f>
        <v>12763391.454358565</v>
      </c>
      <c r="D65" s="55">
        <f t="shared" si="29"/>
        <v>12763391.454358565</v>
      </c>
      <c r="E65" s="55">
        <f t="shared" si="30"/>
        <v>12763391.454358565</v>
      </c>
      <c r="F65" s="56">
        <f>D65- ('App 2 - Goals option 2'!Z14*'App 2 - Goals option 2'!$AF14)</f>
        <v>12594403.81686894</v>
      </c>
      <c r="G65" s="56">
        <f>E65- ('App 2 - Goals option 2'!AD14*'App 2 - Goals option 2'!$AF14)</f>
        <v>12051919.957618635</v>
      </c>
      <c r="H65" s="57">
        <f>F65-'App 2 - Goals option 2'!U14</f>
        <v>12493311.450886318</v>
      </c>
      <c r="I65" s="57">
        <f>G65-'App 2 - Goals option 2'!Y14</f>
        <v>11910990.783320993</v>
      </c>
      <c r="J65" s="42">
        <f>H65-((J64-H64+N("increased generation from NGCC"))*cPROilShare)</f>
        <v>10254758.969083544</v>
      </c>
      <c r="K65" s="42">
        <f>I65-((K64-I64+N("increased generation from NGCC"))*cPROilShare)</f>
        <v>9672438.3015182186</v>
      </c>
    </row>
    <row r="66" spans="1:11" x14ac:dyDescent="0.2">
      <c r="A66" s="17" t="s">
        <v>180</v>
      </c>
      <c r="C66" s="54">
        <f>SUM('App 2 - Goals option 2'!F15:I15)</f>
        <v>713075.48660000018</v>
      </c>
      <c r="D66" s="55">
        <f>C66</f>
        <v>713075.48660000018</v>
      </c>
      <c r="E66" s="55">
        <f t="shared" si="30"/>
        <v>713075.48660000018</v>
      </c>
      <c r="F66" s="56">
        <f>D66- ('App 2 - Goals option 2'!Z15*'App 2 - Goals option 2'!$AF15)</f>
        <v>698518.83961208921</v>
      </c>
      <c r="G66" s="56">
        <f>E66- ('App 2 - Goals option 2'!AD15*'App 2 - Goals option 2'!$AF15)</f>
        <v>651789.11338444636</v>
      </c>
      <c r="H66" s="57">
        <f>F66-'App 2 - Goals option 2'!U15</f>
        <v>690526.48044086574</v>
      </c>
      <c r="I66" s="57">
        <f>G66-'App 2 - Goals option 2'!Y15</f>
        <v>640647.25744169066</v>
      </c>
      <c r="J66" s="42">
        <f>H66</f>
        <v>690526.48044086574</v>
      </c>
      <c r="K66" s="42">
        <f>I66</f>
        <v>640647.25744169066</v>
      </c>
    </row>
    <row r="68" spans="1:11" ht="18" thickBot="1" x14ac:dyDescent="0.35">
      <c r="C68" s="2" t="s">
        <v>287</v>
      </c>
      <c r="D68" s="2"/>
      <c r="E68" s="2"/>
    </row>
    <row r="69" spans="1:11" ht="13.5" thickTop="1" x14ac:dyDescent="0.2">
      <c r="C69" s="17">
        <v>2020</v>
      </c>
      <c r="D69" s="17">
        <v>2025</v>
      </c>
    </row>
    <row r="70" spans="1:11" x14ac:dyDescent="0.2">
      <c r="A70" s="17" t="s">
        <v>179</v>
      </c>
    </row>
    <row r="71" spans="1:11" x14ac:dyDescent="0.2">
      <c r="B71" s="28" t="s">
        <v>289</v>
      </c>
      <c r="C71" s="61">
        <f>cHRIEquipCost*SUMIFS(tPREGUs[Capacity (MW)],tPREGUs[Include?],"Y",tPREGUs[Fuel],"Coal")</f>
        <v>6492200</v>
      </c>
      <c r="D71" s="61">
        <f>cHRIEquipCost*SUMIFS(tPREGUs[Capacity (MW)],tPREGUs[Include?],"Y",tPREGUs[Fuel],"Coal")</f>
        <v>6492200</v>
      </c>
    </row>
    <row r="72" spans="1:11" x14ac:dyDescent="0.2">
      <c r="B72" s="28" t="s">
        <v>288</v>
      </c>
      <c r="C72" s="61">
        <f>(cLNGCost20PR*(J64-D64)*cHRNGCC)+(cCoalCost20PR*(J63-D63)*cHRCoal)+(cNo6Cost20PR*(J65-D65)*cHROil)+(cCoalCost20PR*J63*cHRCoal*-0.04+N("HRI fuel savings"))</f>
        <v>-163725651.85781255</v>
      </c>
      <c r="D72" s="61">
        <f>(cLNGCost25PR*(K64-E64)*cHRNGCC)+(cCoalCost25PR*(K63-E63)*cHRCoal)+(cNo6Cost25PR*(K65-E65)*cHROil)+(cCoalCost25PR*K63*cHRCoal*-0.04+N("HRI fuel savings"))</f>
        <v>-283768575.91785628</v>
      </c>
    </row>
    <row r="73" spans="1:11" x14ac:dyDescent="0.2">
      <c r="B73" s="28" t="s">
        <v>50</v>
      </c>
      <c r="C73" s="62">
        <f>(((J63*'App 2 - Goals option 2'!$L14)-(D63*'App 2 - Goals option 2'!$B14))+((J64-D64)*'App 2 - Goals option 2'!$C14)+((J65-D65)*'App 2 - Goals option 2'!$D14))/cMT2LB</f>
        <v>-1560965.7873856782</v>
      </c>
      <c r="D73" s="62">
        <f>(((K63*'App 2 - Goals option 2'!$L14)-(E63*'App 2 - Goals option 2'!$B14))+((K64-E64)*'App 2 - Goals option 2'!$C14)+((K65-E65)*'App 2 - Goals option 2'!$D14))/cMT2LB</f>
        <v>-2034466.5268229798</v>
      </c>
    </row>
    <row r="74" spans="1:11" x14ac:dyDescent="0.2">
      <c r="A74" s="17" t="s">
        <v>180</v>
      </c>
    </row>
    <row r="75" spans="1:11" x14ac:dyDescent="0.2">
      <c r="B75" s="28" t="s">
        <v>288</v>
      </c>
      <c r="C75" s="61">
        <f>(cNo6Cost20GM*(J66-D66)*cHROil)</f>
        <v>-3187498.2803667253</v>
      </c>
      <c r="D75" s="61">
        <f>(cNo6Cost25GM*(K66-E66)*cHROil)</f>
        <v>-11501664.166004825</v>
      </c>
    </row>
    <row r="76" spans="1:11" x14ac:dyDescent="0.2">
      <c r="B76" s="28" t="s">
        <v>50</v>
      </c>
      <c r="C76" s="62">
        <f>((J66-D66)*'App 2 - Goals option 2'!$D15)/cMT2LB</f>
        <v>-19919.523729886278</v>
      </c>
      <c r="D76" s="62">
        <f>((K66-E66)*'App 2 - Goals option 2'!$D15)/cMT2LB</f>
        <v>-63982.235813446066</v>
      </c>
    </row>
  </sheetData>
  <mergeCells count="16">
    <mergeCell ref="D40:E40"/>
    <mergeCell ref="F40:G40"/>
    <mergeCell ref="H40:I40"/>
    <mergeCell ref="J40:K40"/>
    <mergeCell ref="D60:E60"/>
    <mergeCell ref="F60:G60"/>
    <mergeCell ref="H60:I60"/>
    <mergeCell ref="J60:K60"/>
    <mergeCell ref="D2:F2"/>
    <mergeCell ref="G2:I2"/>
    <mergeCell ref="J2:L2"/>
    <mergeCell ref="M2:O2"/>
    <mergeCell ref="D21:F21"/>
    <mergeCell ref="G21:I21"/>
    <mergeCell ref="J21:L21"/>
    <mergeCell ref="M21:O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43</vt:i4>
      </vt:variant>
    </vt:vector>
  </HeadingPairs>
  <TitlesOfParts>
    <vt:vector size="51" baseType="lpstr">
      <vt:lpstr>App 1 - Info</vt:lpstr>
      <vt:lpstr>App 1 - Guam</vt:lpstr>
      <vt:lpstr>App 1 - PR</vt:lpstr>
      <vt:lpstr>App 1 - Tribes</vt:lpstr>
      <vt:lpstr>App 2 - Goals option 1</vt:lpstr>
      <vt:lpstr>App 2 - Goals option 2</vt:lpstr>
      <vt:lpstr>App 3 - Cost info</vt:lpstr>
      <vt:lpstr>App 3 - Cost analysis</vt:lpstr>
      <vt:lpstr>cCO2MW</vt:lpstr>
      <vt:lpstr>cCO2SCFMole</vt:lpstr>
      <vt:lpstr>cCoalCost20PR</vt:lpstr>
      <vt:lpstr>cCoalCost25PR</vt:lpstr>
      <vt:lpstr>cCoalCost30PR</vt:lpstr>
      <vt:lpstr>cDollar2011</vt:lpstr>
      <vt:lpstr>cElecMMBtu</vt:lpstr>
      <vt:lpstr>cFcCoal</vt:lpstr>
      <vt:lpstr>cFcGas</vt:lpstr>
      <vt:lpstr>cFcOil</vt:lpstr>
      <vt:lpstr>cFtMojaveSales</vt:lpstr>
      <vt:lpstr>cGallon2CO2</vt:lpstr>
      <vt:lpstr>cGuamSales</vt:lpstr>
      <vt:lpstr>cHours</vt:lpstr>
      <vt:lpstr>cHRCoal</vt:lpstr>
      <vt:lpstr>cHRIEquipCost</vt:lpstr>
      <vt:lpstr>cHRNGCC</vt:lpstr>
      <vt:lpstr>cHROil</vt:lpstr>
      <vt:lpstr>cLNGAdder</vt:lpstr>
      <vt:lpstr>cLNGCost20PR</vt:lpstr>
      <vt:lpstr>cLNGCost25PR</vt:lpstr>
      <vt:lpstr>cLNGCost30PR</vt:lpstr>
      <vt:lpstr>cMT2LB</vt:lpstr>
      <vt:lpstr>cN2GCoal</vt:lpstr>
      <vt:lpstr>cN2GNGCC</vt:lpstr>
      <vt:lpstr>cN2GOil</vt:lpstr>
      <vt:lpstr>cNavajoSales</vt:lpstr>
      <vt:lpstr>cNo2Cost20PR</vt:lpstr>
      <vt:lpstr>cNo2Cost25PR</vt:lpstr>
      <vt:lpstr>cNo2Cost30PR</vt:lpstr>
      <vt:lpstr>cNo6Cost20GM</vt:lpstr>
      <vt:lpstr>cNo6Cost20PR</vt:lpstr>
      <vt:lpstr>cNo6Cost25GM</vt:lpstr>
      <vt:lpstr>cNo6Cost25PR</vt:lpstr>
      <vt:lpstr>cNo6Cost30GM</vt:lpstr>
      <vt:lpstr>cNo6Cost30PR</vt:lpstr>
      <vt:lpstr>cOpt1NGCC</vt:lpstr>
      <vt:lpstr>cOpt2NGCC</vt:lpstr>
      <vt:lpstr>cPRCoalShare</vt:lpstr>
      <vt:lpstr>cPROilShare</vt:lpstr>
      <vt:lpstr>cPRSales</vt:lpstr>
      <vt:lpstr>cTDLoss</vt:lpstr>
      <vt:lpstr>cUteSales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Schreifels, Jeremy</dc:creator>
  <cp:lastModifiedBy>Schreifels, Jeremy</cp:lastModifiedBy>
  <dcterms:created xsi:type="dcterms:W3CDTF">2014-09-22T17:27:06Z</dcterms:created>
  <dcterms:modified xsi:type="dcterms:W3CDTF">2014-10-27T18:17:43Z</dcterms:modified>
</cp:coreProperties>
</file>