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280" windowHeight="71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<sst xmlns="http://schemas.openxmlformats.org/spreadsheetml/2006/main" count="673" uniqueCount="377">
  <si>
    <t>Station</t>
  </si>
  <si>
    <t>Reps</t>
  </si>
  <si>
    <t>Species</t>
  </si>
  <si>
    <t>EP-22</t>
  </si>
  <si>
    <t>Unciola irrorata</t>
  </si>
  <si>
    <t>number</t>
  </si>
  <si>
    <t>depth</t>
  </si>
  <si>
    <t>Station EP-22</t>
  </si>
  <si>
    <t>fraction</t>
  </si>
  <si>
    <t>length, mm</t>
  </si>
  <si>
    <t xml:space="preserve"> </t>
  </si>
  <si>
    <t xml:space="preserve">diameter mm </t>
  </si>
  <si>
    <t>radius</t>
  </si>
  <si>
    <t>volume mm3</t>
  </si>
  <si>
    <t>Carbon gC m-2</t>
  </si>
  <si>
    <t>energy J m-2</t>
  </si>
  <si>
    <t>dry weight  m-2</t>
  </si>
  <si>
    <t>Density m-2</t>
  </si>
  <si>
    <t>Diversity</t>
  </si>
  <si>
    <t>EP-23</t>
  </si>
  <si>
    <t>Spirobis borealis</t>
  </si>
  <si>
    <t>Spirorbis spirrilum</t>
  </si>
  <si>
    <t>EP-27</t>
  </si>
  <si>
    <t>EP-24</t>
  </si>
  <si>
    <t>EP-25</t>
  </si>
  <si>
    <t>EP-26</t>
  </si>
  <si>
    <t>EP - 28</t>
  </si>
  <si>
    <t>EP-29</t>
  </si>
  <si>
    <t>EP-31</t>
  </si>
  <si>
    <t>EP-32</t>
  </si>
  <si>
    <t>EP-33</t>
  </si>
  <si>
    <t>Lepidopleurus canadotes</t>
  </si>
  <si>
    <t>Paraonis gracilis</t>
  </si>
  <si>
    <t>Diastylis sp.</t>
  </si>
  <si>
    <t>Edotea</t>
  </si>
  <si>
    <t>Scoleplos</t>
  </si>
  <si>
    <t>Nephtys picta</t>
  </si>
  <si>
    <t>Cardita borealis</t>
  </si>
  <si>
    <t>Casco bigelowi</t>
  </si>
  <si>
    <t>Haploops sp.</t>
  </si>
  <si>
    <t>Terebellidae</t>
  </si>
  <si>
    <t>Leptocheirous</t>
  </si>
  <si>
    <t>U, irrorata</t>
  </si>
  <si>
    <t>Thyasira flexuosa</t>
  </si>
  <si>
    <t>Fraction of total #</t>
  </si>
  <si>
    <t>volume</t>
  </si>
  <si>
    <t>Number weighted average volume</t>
  </si>
  <si>
    <t>Spirobis sp.</t>
  </si>
  <si>
    <t>Vol avg species</t>
  </si>
  <si>
    <t>Vol. Not counted</t>
  </si>
  <si>
    <t>Vol. counted</t>
  </si>
  <si>
    <t>mm3</t>
  </si>
  <si>
    <t>Total Vol.</t>
  </si>
  <si>
    <t>Average Benthic values for Cobscook Bay</t>
  </si>
  <si>
    <t>Number m-2</t>
  </si>
  <si>
    <t>dry wt. m-2</t>
  </si>
  <si>
    <t>#Species m-2</t>
  </si>
  <si>
    <t xml:space="preserve">Benthos from Peter Larsen unpublished data </t>
  </si>
  <si>
    <t>April 14-27</t>
  </si>
  <si>
    <t>April 28-May 4</t>
  </si>
  <si>
    <t>May 5-11</t>
  </si>
  <si>
    <t>May 12-21</t>
  </si>
  <si>
    <t>May  22-25</t>
  </si>
  <si>
    <t>May 26-June 1</t>
  </si>
  <si>
    <t>June 2-8</t>
  </si>
  <si>
    <t>Date</t>
  </si>
  <si>
    <t xml:space="preserve"> SpS</t>
  </si>
  <si>
    <t>Sa</t>
  </si>
  <si>
    <t>YL</t>
  </si>
  <si>
    <t>RT</t>
  </si>
  <si>
    <t>SpP</t>
  </si>
  <si>
    <t>BbP</t>
  </si>
  <si>
    <t>Total</t>
  </si>
  <si>
    <t>Spring 1980</t>
  </si>
  <si>
    <t>July 1-10</t>
  </si>
  <si>
    <t>July 10-20</t>
  </si>
  <si>
    <t>July 20-30</t>
  </si>
  <si>
    <t>Aug. 1-10</t>
  </si>
  <si>
    <t>Aug. 10-20</t>
  </si>
  <si>
    <t>Aug. 20-30</t>
  </si>
  <si>
    <t>Sep. 1-10</t>
  </si>
  <si>
    <t>Sep. 10-20</t>
  </si>
  <si>
    <t>Sep. 20-30</t>
  </si>
  <si>
    <t>Summer 1979</t>
  </si>
  <si>
    <t>SpS = semipalmated sandpipers, Sa = sanderlings, YL = greater and lesser yellow legs, RT = ruddy turnstone, SpP = semipalmated plover, BbP = black-bellied plover.</t>
  </si>
  <si>
    <t>Weight g.</t>
  </si>
  <si>
    <t>Length cm</t>
  </si>
  <si>
    <t>YL avg. wt. greater and lesser</t>
  </si>
  <si>
    <t>28/22</t>
  </si>
  <si>
    <t>RT assume = Spp</t>
  </si>
  <si>
    <t>Sa interpolate from SpS tp SpP</t>
  </si>
  <si>
    <t>gC</t>
  </si>
  <si>
    <t>Joules</t>
  </si>
  <si>
    <t>J m-2</t>
  </si>
  <si>
    <t>J m-2 mudflat</t>
  </si>
  <si>
    <t>Avg. Spring</t>
  </si>
  <si>
    <t>Avg Fall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</si>
  <si>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</si>
  <si>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</si>
  <si>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</si>
  <si>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</si>
  <si>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</si>
  <si>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</si>
  <si>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</si>
  <si>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</si>
  <si>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</si>
  <si>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</si>
  <si>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</si>
  <si>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</si>
  <si>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Month</t>
  </si>
  <si>
    <t xml:space="preserve"> # m-2 </t>
  </si>
  <si>
    <t xml:space="preserve"> # m-2 entering (+) or leaving (-)</t>
  </si>
  <si>
    <t>Fish Abundance from Tyler (1971)</t>
  </si>
  <si>
    <t>Size cm</t>
  </si>
  <si>
    <t>Herring</t>
  </si>
  <si>
    <t>Smelt</t>
  </si>
  <si>
    <t>White Hake</t>
  </si>
  <si>
    <t>Haddock</t>
  </si>
  <si>
    <t>Little Skate</t>
  </si>
  <si>
    <t>Cod</t>
  </si>
  <si>
    <t>Weight g</t>
  </si>
  <si>
    <t>Longhorn S.</t>
  </si>
  <si>
    <t>Herring,</t>
  </si>
  <si>
    <t xml:space="preserve">Ocean Pout </t>
  </si>
  <si>
    <t xml:space="preserve">Smelt </t>
  </si>
  <si>
    <r>
      <t xml:space="preserve"> </t>
    </r>
    <r>
      <rPr>
        <u val="single"/>
        <sz val="10"/>
        <rFont val="Arial"/>
        <family val="2"/>
      </rPr>
      <t>White Hake</t>
    </r>
  </si>
  <si>
    <t xml:space="preserve">Haddock, </t>
  </si>
  <si>
    <t xml:space="preserve">Winter F, </t>
  </si>
  <si>
    <t xml:space="preserve">Little Skate, </t>
  </si>
  <si>
    <t>Bigelow&amp;Schroeder</t>
  </si>
  <si>
    <t>From Tyler</t>
  </si>
  <si>
    <t>Winter F</t>
  </si>
  <si>
    <t>total</t>
  </si>
  <si>
    <t>weight g</t>
  </si>
  <si>
    <t>Biom. g wet wt/fish</t>
  </si>
  <si>
    <t>gwwt m-2</t>
  </si>
  <si>
    <t>g dry wt. M-2</t>
  </si>
  <si>
    <t>gC m-2</t>
  </si>
  <si>
    <t>Average m-2</t>
  </si>
  <si>
    <t>Emmigration/immigration</t>
  </si>
  <si>
    <t>Biomass dwt m-2</t>
  </si>
  <si>
    <t>Avg. cc m-3</t>
  </si>
  <si>
    <t>mgC m-3 *</t>
  </si>
  <si>
    <t>J m-3</t>
  </si>
  <si>
    <t>Avg. J m-3</t>
  </si>
  <si>
    <t>Eagles</t>
  </si>
  <si>
    <t>Year</t>
  </si>
  <si>
    <t>Adults summer</t>
  </si>
  <si>
    <t>adults winter</t>
  </si>
  <si>
    <t>Immatures winter</t>
  </si>
  <si>
    <t>Weigth males</t>
  </si>
  <si>
    <t>Weight Females</t>
  </si>
  <si>
    <t>Avg. weight lbs</t>
  </si>
  <si>
    <t>g avg. wwt.</t>
  </si>
  <si>
    <t>dry weight/bird</t>
  </si>
  <si>
    <t>carbon/ bird</t>
  </si>
  <si>
    <t>joules/ bird</t>
  </si>
  <si>
    <t>One bird per 742 ha water surfcae at high tide.</t>
  </si>
  <si>
    <t>Marine mammals (seals)</t>
  </si>
  <si>
    <t>kg /seal</t>
  </si>
  <si>
    <t>50-170</t>
  </si>
  <si>
    <t>Avg. wwt. G</t>
  </si>
  <si>
    <t>300-900</t>
  </si>
  <si>
    <t>Number  several 100 Us army corps estimate</t>
  </si>
  <si>
    <t>Average number</t>
  </si>
  <si>
    <t>total wwt g</t>
  </si>
  <si>
    <t>High water</t>
  </si>
  <si>
    <t>U.S. Army Corps 1980</t>
  </si>
  <si>
    <t>m 2, Area of the estuary within mean high water line (MHW)</t>
  </si>
  <si>
    <t>low water</t>
  </si>
  <si>
    <t>m 2, 5.34e7 Jane's estimate</t>
  </si>
  <si>
    <t>intertidal area</t>
  </si>
  <si>
    <t>, 1.81e7  m2 is mud flat</t>
  </si>
  <si>
    <t>wwt m-2</t>
  </si>
  <si>
    <t>g C m-2</t>
  </si>
  <si>
    <t>Fish</t>
  </si>
  <si>
    <t>Energy J m-2 d-1</t>
  </si>
  <si>
    <t>Ann net outflow</t>
  </si>
  <si>
    <t>Ann net inflow</t>
  </si>
  <si>
    <t>J m-2 y-1</t>
  </si>
  <si>
    <t>Areas</t>
  </si>
  <si>
    <t>April 28- May 4</t>
  </si>
  <si>
    <t>Relative Use</t>
  </si>
  <si>
    <t>Feeding inside</t>
  </si>
  <si>
    <t>Number ha-1</t>
  </si>
  <si>
    <t>Number ha-1 da-1</t>
  </si>
  <si>
    <t xml:space="preserve">Gain or LossNumber  </t>
  </si>
  <si>
    <t>J/bird</t>
  </si>
  <si>
    <t>J m-2 d-1</t>
  </si>
  <si>
    <t>Spring net influx J m-2</t>
  </si>
  <si>
    <t>Spring net outflow J m-2</t>
  </si>
  <si>
    <t>Fall net influx J m-2</t>
  </si>
  <si>
    <t>Fall net outlflow</t>
  </si>
  <si>
    <t>Total in</t>
  </si>
  <si>
    <t>J m-2 for 8.5 m depth</t>
  </si>
  <si>
    <t>Zooplankton Outside bay in Passage</t>
  </si>
  <si>
    <t>Zooplankton inside bay</t>
  </si>
  <si>
    <t>carbon m-2</t>
  </si>
  <si>
    <t>entering or leaving</t>
  </si>
  <si>
    <t>Stock inside</t>
  </si>
  <si>
    <t>Birds feeding and roosting inside and outside the Bay</t>
  </si>
  <si>
    <t>Bird</t>
  </si>
  <si>
    <t>Weight of birds feeding and roosting inside and outside</t>
  </si>
  <si>
    <t>Total g wwt.</t>
  </si>
  <si>
    <t>g dry wt</t>
  </si>
  <si>
    <t>1.81E7 m-2 area mud flat inside</t>
  </si>
  <si>
    <t>Spring Avg. J m-2 inside bay if .6 of feeding and roosting birds are found on inside mudflats</t>
  </si>
  <si>
    <t>Fall Avg. J m-2 inside bay if .6 of feeding and roosting birds are found on inside mudflats</t>
  </si>
  <si>
    <t>Fall Avg gC m-2</t>
  </si>
  <si>
    <t>Spring Avg gC m-2</t>
  </si>
  <si>
    <t>Date (1995)</t>
  </si>
  <si>
    <t>May 2,3,4</t>
  </si>
  <si>
    <t>July 11,12,13</t>
  </si>
  <si>
    <t>July 21,22,32</t>
  </si>
  <si>
    <t>October 24,25,26</t>
  </si>
  <si>
    <t>November 7,8,9</t>
  </si>
  <si>
    <t>Chla Eastport-Lubec line</t>
  </si>
  <si>
    <t>Avg. Chla</t>
  </si>
  <si>
    <t>gC m-3</t>
  </si>
  <si>
    <t>assume 30 mgC/mgchla</t>
  </si>
  <si>
    <t xml:space="preserve"> ug chl a l-1</t>
  </si>
  <si>
    <t>mg C m-3</t>
  </si>
  <si>
    <t>gC m-2 /55 ddays</t>
  </si>
  <si>
    <t>gC m-2 /92 ddays</t>
  </si>
  <si>
    <t>gC per day for 147 day length of spring and fall seasons</t>
  </si>
  <si>
    <t>gC in m-2 d-1</t>
  </si>
  <si>
    <t>gC out m-2 d-1</t>
  </si>
  <si>
    <t>gC sp&amp;fall</t>
  </si>
  <si>
    <t>Peter Larsen's Land Use Classes based on 1993 data</t>
  </si>
  <si>
    <t>Class 1 - deep water</t>
  </si>
  <si>
    <t>Class 2 - Shallow water/ pens</t>
  </si>
  <si>
    <t>Class 3 - Channel/shallow water</t>
  </si>
  <si>
    <t xml:space="preserve">Class 4 - Green algae </t>
  </si>
  <si>
    <t>Class 5 - Algal flat</t>
  </si>
  <si>
    <t>Class 6 - Moderate Green algae</t>
  </si>
  <si>
    <t>Class 7 - Mud</t>
  </si>
  <si>
    <t>Class 8 - Mixed sediment</t>
  </si>
  <si>
    <t>Class 9 - Cobble/brown algae</t>
  </si>
  <si>
    <t>Class 10 - Brown algae</t>
  </si>
  <si>
    <t>Class 11 - Ledge/brown algae</t>
  </si>
  <si>
    <t>Class 12 - Marsh /upland</t>
  </si>
  <si>
    <t>Class 13 - Upland / marsh</t>
  </si>
  <si>
    <t>Area ha</t>
  </si>
  <si>
    <t>Browns</t>
  </si>
  <si>
    <t>Greens</t>
  </si>
  <si>
    <t>Kelp</t>
  </si>
  <si>
    <t>Reds</t>
  </si>
  <si>
    <t>Macroalgae</t>
  </si>
  <si>
    <t>Eelgrass</t>
  </si>
  <si>
    <t>Detritus Production gC m-2 d-1</t>
  </si>
  <si>
    <t>Phyto</t>
  </si>
  <si>
    <t>Benthic micro</t>
  </si>
  <si>
    <t>Total D prod.per day</t>
  </si>
  <si>
    <t>Total D m-2 y-1</t>
  </si>
  <si>
    <t>Total Dprod.m-2 d-1</t>
  </si>
  <si>
    <t>Area m-2</t>
  </si>
  <si>
    <t>Detritus consumed by macro benthos</t>
  </si>
  <si>
    <t>Volume: High</t>
  </si>
  <si>
    <t>Volume: Low</t>
  </si>
  <si>
    <t>Intertidal Volume</t>
  </si>
  <si>
    <t xml:space="preserve">Detritus exported </t>
  </si>
  <si>
    <t>Detritus deposited</t>
  </si>
  <si>
    <t>Bacterial consumption</t>
  </si>
  <si>
    <t>Detrius buried</t>
  </si>
  <si>
    <t>chiton</t>
  </si>
  <si>
    <t>Passages</t>
  </si>
  <si>
    <t>Bay</t>
  </si>
  <si>
    <t>Difference</t>
  </si>
  <si>
    <t>Avg. Z export</t>
  </si>
  <si>
    <t>gc m-2 exported</t>
  </si>
  <si>
    <t>Exchange volume</t>
  </si>
  <si>
    <t>gC m-3 d-1</t>
  </si>
  <si>
    <t>81% fowl</t>
  </si>
  <si>
    <t>14% fish</t>
  </si>
  <si>
    <t xml:space="preserve"> July 11,12,13 </t>
  </si>
  <si>
    <t xml:space="preserve"> July 21,22,32</t>
  </si>
  <si>
    <t xml:space="preserve"> November 7,8,9</t>
  </si>
  <si>
    <t>NO3</t>
  </si>
  <si>
    <t>NH4</t>
  </si>
  <si>
    <t>NO2</t>
  </si>
  <si>
    <t>Net Change</t>
  </si>
  <si>
    <t>mg N m-3</t>
  </si>
  <si>
    <t xml:space="preserve"> mg N m-3</t>
  </si>
  <si>
    <t xml:space="preserve"> October 24,25,26</t>
  </si>
  <si>
    <t>High tide</t>
  </si>
  <si>
    <t>Low tide</t>
  </si>
  <si>
    <t>μg chla l-1</t>
  </si>
  <si>
    <t>μg chla 1-1</t>
  </si>
  <si>
    <t>Eastport-Lubec line</t>
  </si>
  <si>
    <t>average conc dif.</t>
  </si>
  <si>
    <t>Avg.Phyto dif</t>
  </si>
  <si>
    <t>gC entering d-1</t>
  </si>
  <si>
    <t>gC entering m-2 d-1</t>
  </si>
  <si>
    <t>gN d-1</t>
  </si>
  <si>
    <t>gN m-2 d-1</t>
  </si>
  <si>
    <t>average size mg dwt/animal</t>
  </si>
  <si>
    <t>mgC/animal/d</t>
  </si>
  <si>
    <t>g C/m-2 d-1at 15degrees</t>
  </si>
  <si>
    <t xml:space="preserve">winter = 25% summer </t>
  </si>
  <si>
    <t>ml O2 @ 15 C</t>
  </si>
  <si>
    <t xml:space="preserve">average g C respired m-2 </t>
  </si>
  <si>
    <t>Average size g wwt.</t>
  </si>
  <si>
    <t>Avg size overall</t>
  </si>
  <si>
    <t>Metabolic rate kj</t>
  </si>
  <si>
    <t>Kcal</t>
  </si>
  <si>
    <t>gC respired per bird</t>
  </si>
  <si>
    <t>gC/ bird</t>
  </si>
  <si>
    <t>g dwt  respired per bird</t>
  </si>
  <si>
    <t>Worm wet weight eaten</t>
  </si>
  <si>
    <t xml:space="preserve">Resp rate kcal d-1 bird-1 </t>
  </si>
  <si>
    <t>gC per bird d-1</t>
  </si>
  <si>
    <t>Daily Ration gC</t>
  </si>
  <si>
    <t>Resp gC d-1</t>
  </si>
  <si>
    <t>gn recycled @ C:N 4:1</t>
  </si>
  <si>
    <t xml:space="preserve">For a temperate fish roughly 90 mg O2 /kg/hr for temperate zone fish (Brett and Groves 1979). </t>
  </si>
  <si>
    <t>Resp. rate mg O2/kg/d</t>
  </si>
  <si>
    <t>Resp. rate mg C/kg/d</t>
  </si>
  <si>
    <t>Average rate gC m-2 d-1</t>
  </si>
  <si>
    <t>If C:N is 4 :1</t>
  </si>
  <si>
    <t>Mammal resp. mlO2 kg-1 h-1</t>
  </si>
  <si>
    <t>Seal resp. mlO2 kg-1 h-1</t>
  </si>
  <si>
    <t>Harbor seal respiration is 1.7 times that of the standard mammal equation at weight Kooyman (1981).</t>
  </si>
  <si>
    <t>mgC kg-1 h-1</t>
  </si>
  <si>
    <t>gC m-2 d-1</t>
  </si>
  <si>
    <t>N rem. at C:N 4:1</t>
  </si>
  <si>
    <t>gC kg-1 d-1</t>
  </si>
  <si>
    <t>gC m-2 d-d</t>
  </si>
  <si>
    <t>mammals are about 16% protein and protein is about 16% N</t>
  </si>
  <si>
    <t xml:space="preserve">numbers from Altman and Dittmer 1968. </t>
  </si>
  <si>
    <t>cod</t>
  </si>
  <si>
    <t>lbs</t>
  </si>
  <si>
    <t>white hake</t>
  </si>
  <si>
    <t>pollack</t>
  </si>
  <si>
    <t>herring</t>
  </si>
  <si>
    <t>soft clams</t>
  </si>
  <si>
    <t>Sea scallops</t>
  </si>
  <si>
    <t>urchins</t>
  </si>
  <si>
    <t>sea cucumbers</t>
  </si>
  <si>
    <t>periwinkles</t>
  </si>
  <si>
    <t>% water</t>
  </si>
  <si>
    <t>C as % dwwt</t>
  </si>
  <si>
    <t>N as % dwt.</t>
  </si>
  <si>
    <t>N as % live wwt..</t>
  </si>
  <si>
    <t>gC landed</t>
  </si>
  <si>
    <t xml:space="preserve">Washibgton Co. </t>
  </si>
  <si>
    <t>Cobscook share</t>
  </si>
  <si>
    <t>Cobscook</t>
  </si>
  <si>
    <t>Washington Co.</t>
  </si>
  <si>
    <t>Eastport-Lubec</t>
  </si>
  <si>
    <t>fraction from Cobscook</t>
  </si>
  <si>
    <t>1996 -1997 season Maggie Hunter, Maine DMR, West Boothbay Harbor ME, personal communication</t>
  </si>
  <si>
    <t>Washington Co. 1996 Landings</t>
  </si>
  <si>
    <t>Keri Lyons, Maine DMR, West Boothbay Harbor ME, personal communication</t>
  </si>
  <si>
    <t>Total yield grams</t>
  </si>
  <si>
    <t>Area commercial fish  production</t>
  </si>
  <si>
    <t>Area commercial shellfish  production</t>
  </si>
  <si>
    <t>May 16,17,18</t>
  </si>
  <si>
    <t>Increment</t>
  </si>
  <si>
    <t>Average</t>
  </si>
  <si>
    <t xml:space="preserve"> July 21,22,23</t>
  </si>
  <si>
    <t>mg C</t>
  </si>
  <si>
    <t>mg N (NH4)</t>
  </si>
  <si>
    <t>mg N m-3 y-1</t>
  </si>
  <si>
    <t>mg N (NO3)</t>
  </si>
  <si>
    <t>mg N (inorganic)</t>
  </si>
  <si>
    <t xml:space="preserve"> October 24,25,26 (aaume 0 for average)</t>
  </si>
  <si>
    <t>No2 um</t>
  </si>
  <si>
    <t>NH4 um</t>
  </si>
  <si>
    <t xml:space="preserve">No3 um </t>
  </si>
  <si>
    <t>mg N m-3 total</t>
  </si>
  <si>
    <t>mg N-No3 m-3</t>
  </si>
  <si>
    <t>mg N-NO3 m-3 y-1</t>
  </si>
  <si>
    <t>mg N (tot. inorg.)</t>
  </si>
  <si>
    <t>mg N inorg. total m-3 y-1</t>
  </si>
  <si>
    <t>entering on the flood</t>
  </si>
  <si>
    <t>kgN y-1</t>
  </si>
  <si>
    <t>Assume 80% of prod. Is consumed Hargrave et al. (1983)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</si>
</sst>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1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30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8.140625" style="0" customWidth="1"/>
    <col min="2" max="2" width="10.00390625" style="0" bestFit="1" customWidth="1"/>
    <col min="3" max="3" width="15.28125" style="0" customWidth="1"/>
    <col min="4" max="4" width="15.140625" style="0" customWidth="1"/>
    <col min="5" max="5" width="18.28125" style="0" customWidth="1"/>
    <col min="6" max="6" width="20.7109375" style="0" customWidth="1"/>
    <col min="7" max="7" width="19.421875" style="0" bestFit="1" customWidth="1"/>
    <col min="8" max="8" width="23.28125" style="0" customWidth="1"/>
    <col min="9" max="9" width="16.7109375" style="0" customWidth="1"/>
    <col min="10" max="10" width="16.57421875" style="0" customWidth="1"/>
    <col min="11" max="11" width="16.140625" style="0" customWidth="1"/>
    <col min="12" max="12" width="14.140625" style="0" customWidth="1"/>
    <col min="13" max="13" width="16.57421875" style="0" customWidth="1"/>
    <col min="14" max="14" width="12.28125" style="0" bestFit="1" customWidth="1"/>
    <col min="15" max="15" width="16.28125" style="0" customWidth="1"/>
    <col min="16" max="16" width="11.00390625" style="0" customWidth="1"/>
    <col min="17" max="17" width="11.28125" style="0" customWidth="1"/>
    <col min="18" max="18" width="17.421875" style="0" customWidth="1"/>
    <col min="19" max="19" width="15.8515625" style="0" customWidth="1"/>
    <col min="20" max="20" width="14.57421875" style="0" customWidth="1"/>
    <col min="21" max="21" width="11.7109375" style="0" customWidth="1"/>
    <col min="22" max="22" width="11.00390625" style="0" customWidth="1"/>
    <col min="24" max="24" width="15.00390625" style="0" customWidth="1"/>
    <col min="25" max="25" width="17.8515625" style="0" customWidth="1"/>
    <col min="26" max="26" width="13.8515625" style="0" customWidth="1"/>
    <col min="27" max="27" width="10.7109375" style="0" customWidth="1"/>
    <col min="28" max="28" width="10.421875" style="0" customWidth="1"/>
  </cols>
  <sheetData>
    <row r="2" spans="1:21" ht="12.75">
      <c r="A2" t="s">
        <v>57</v>
      </c>
      <c r="F2" t="s">
        <v>51</v>
      </c>
      <c r="G2" t="s">
        <v>51</v>
      </c>
      <c r="O2" t="s">
        <v>7</v>
      </c>
      <c r="U2" t="s">
        <v>10</v>
      </c>
    </row>
    <row r="3" spans="1:28" ht="12.75">
      <c r="A3" t="s">
        <v>0</v>
      </c>
      <c r="B3" t="s">
        <v>1</v>
      </c>
      <c r="C3" t="s">
        <v>2</v>
      </c>
      <c r="D3" t="s">
        <v>17</v>
      </c>
      <c r="E3" t="s">
        <v>18</v>
      </c>
      <c r="F3" t="s">
        <v>50</v>
      </c>
      <c r="G3" t="s">
        <v>49</v>
      </c>
      <c r="H3" t="s">
        <v>52</v>
      </c>
      <c r="I3" t="s">
        <v>16</v>
      </c>
      <c r="J3" t="s">
        <v>14</v>
      </c>
      <c r="K3" t="s">
        <v>15</v>
      </c>
      <c r="O3" t="s">
        <v>2</v>
      </c>
      <c r="P3" t="s">
        <v>8</v>
      </c>
      <c r="Q3" t="s">
        <v>5</v>
      </c>
      <c r="R3" t="s">
        <v>9</v>
      </c>
      <c r="S3" t="s">
        <v>11</v>
      </c>
      <c r="T3" t="s">
        <v>12</v>
      </c>
      <c r="U3" t="s">
        <v>6</v>
      </c>
      <c r="V3" t="s">
        <v>13</v>
      </c>
      <c r="Y3" t="s">
        <v>2</v>
      </c>
      <c r="Z3" t="s">
        <v>44</v>
      </c>
      <c r="AA3" t="s">
        <v>45</v>
      </c>
      <c r="AB3" t="s">
        <v>46</v>
      </c>
    </row>
    <row r="4" spans="1:28" ht="12.75">
      <c r="A4" t="s">
        <v>3</v>
      </c>
      <c r="B4">
        <v>2</v>
      </c>
      <c r="C4">
        <v>54</v>
      </c>
      <c r="D4">
        <v>12970</v>
      </c>
      <c r="E4">
        <v>1.15</v>
      </c>
      <c r="F4">
        <f>Q4*V4</f>
        <v>440061.73254424386</v>
      </c>
      <c r="G4">
        <f>(1-P4)*D4*$AB$18</f>
        <v>90159.47692224075</v>
      </c>
      <c r="H4">
        <f aca="true" t="shared" si="0" ref="H4:H9">F4+G4</f>
        <v>530221.2094664846</v>
      </c>
      <c r="I4">
        <f>H4/1000*0.2</f>
        <v>106.04424189329694</v>
      </c>
      <c r="J4">
        <f>I4*0.5</f>
        <v>53.02212094664847</v>
      </c>
      <c r="K4">
        <f>I4*5*4182</f>
        <v>2217385.097988839</v>
      </c>
      <c r="O4" t="s">
        <v>4</v>
      </c>
      <c r="P4">
        <v>0.8</v>
      </c>
      <c r="Q4">
        <f>P4*D4</f>
        <v>10376</v>
      </c>
      <c r="R4">
        <v>6</v>
      </c>
      <c r="S4">
        <v>3</v>
      </c>
      <c r="T4">
        <f>S4/2</f>
        <v>1.5</v>
      </c>
      <c r="V4">
        <f>PI()*(T4)^2*R4</f>
        <v>42.411500823462205</v>
      </c>
      <c r="Y4" t="s">
        <v>4</v>
      </c>
      <c r="Z4">
        <f>(Q4+Q64)/D15</f>
        <v>0.2997230549607423</v>
      </c>
      <c r="AA4">
        <f>V4</f>
        <v>42.411500823462205</v>
      </c>
      <c r="AB4">
        <f>AA4*Z4</f>
        <v>12.71170459227813</v>
      </c>
    </row>
    <row r="5" spans="1:28" ht="12.75">
      <c r="A5" t="s">
        <v>19</v>
      </c>
      <c r="B5">
        <v>1</v>
      </c>
      <c r="C5">
        <v>39</v>
      </c>
      <c r="D5">
        <v>3380</v>
      </c>
      <c r="E5">
        <v>1.62</v>
      </c>
      <c r="F5">
        <f>Q10*V8</f>
        <v>8059.504625372328</v>
      </c>
      <c r="G5">
        <f>(1-P10)*D5*$AB$18</f>
        <v>28312.30019711599</v>
      </c>
      <c r="H5">
        <f t="shared" si="0"/>
        <v>36371.80482248832</v>
      </c>
      <c r="I5">
        <f>F5/1000*0.2</f>
        <v>1.6119009250744654</v>
      </c>
      <c r="J5">
        <f>I5*0.5</f>
        <v>0.8059504625372327</v>
      </c>
      <c r="K5">
        <f aca="true" t="shared" si="1" ref="K5:K15">I5*5*4182</f>
        <v>33704.84834330707</v>
      </c>
      <c r="Y5" t="s">
        <v>47</v>
      </c>
      <c r="Z5">
        <f>(Q8+Q9+Q14+Q19+Q24+Q28+Q33+Q39+Q51+Q52)/D15</f>
        <v>0.35179842969307634</v>
      </c>
      <c r="AA5">
        <f>V8</f>
        <v>3.141592653589793</v>
      </c>
      <c r="AB5">
        <f>AA5*Z5</f>
        <v>1.105207362268194</v>
      </c>
    </row>
    <row r="6" spans="1:28" ht="12.75">
      <c r="A6" t="s">
        <v>23</v>
      </c>
      <c r="B6">
        <v>2</v>
      </c>
      <c r="C6">
        <v>54</v>
      </c>
      <c r="D6">
        <v>2195</v>
      </c>
      <c r="E6">
        <v>2.32</v>
      </c>
      <c r="F6">
        <f>Q14*V14+Q15*V15</f>
        <v>4372.365571757328</v>
      </c>
      <c r="G6">
        <f>(1-P16)*D6*$AB$18</f>
        <v>31050.624942420058</v>
      </c>
      <c r="H6">
        <f t="shared" si="0"/>
        <v>35422.990514177385</v>
      </c>
      <c r="I6">
        <f>F6/1000*0.2</f>
        <v>0.8744731143514657</v>
      </c>
      <c r="J6">
        <f>I6*0.5</f>
        <v>0.43723655717573284</v>
      </c>
      <c r="K6">
        <f t="shared" si="1"/>
        <v>18285.232821089146</v>
      </c>
      <c r="O6" t="s">
        <v>19</v>
      </c>
      <c r="Y6" t="s">
        <v>32</v>
      </c>
      <c r="Z6">
        <f>(Q15+Q35)/D15</f>
        <v>0.006015560314061384</v>
      </c>
      <c r="AA6">
        <f>V15</f>
        <v>4.908738521234052</v>
      </c>
      <c r="AB6">
        <f>AA6*Z6</f>
        <v>0.02952881264043993</v>
      </c>
    </row>
    <row r="7" spans="1:28" ht="12.75">
      <c r="A7" t="s">
        <v>24</v>
      </c>
      <c r="B7">
        <v>2</v>
      </c>
      <c r="C7">
        <v>59</v>
      </c>
      <c r="D7">
        <v>2470</v>
      </c>
      <c r="E7">
        <v>2.11</v>
      </c>
      <c r="F7">
        <f>Q19*V19</f>
        <v>4655.840312620074</v>
      </c>
      <c r="G7">
        <f>(1-P19)*D7*$AB$18</f>
        <v>34339.847031292935</v>
      </c>
      <c r="H7">
        <f t="shared" si="0"/>
        <v>38995.68734391301</v>
      </c>
      <c r="I7">
        <f>F7/1000*0.2</f>
        <v>0.9311680625240147</v>
      </c>
      <c r="J7">
        <f>I7*0.5</f>
        <v>0.46558403126200737</v>
      </c>
      <c r="K7">
        <f t="shared" si="1"/>
        <v>19470.724187377145</v>
      </c>
      <c r="O7" t="s">
        <v>2</v>
      </c>
      <c r="P7" t="s">
        <v>8</v>
      </c>
      <c r="Q7" t="s">
        <v>5</v>
      </c>
      <c r="R7" t="s">
        <v>9</v>
      </c>
      <c r="S7" t="s">
        <v>11</v>
      </c>
      <c r="T7" t="s">
        <v>12</v>
      </c>
      <c r="U7" t="s">
        <v>6</v>
      </c>
      <c r="V7" t="s">
        <v>13</v>
      </c>
      <c r="Y7" t="s">
        <v>31</v>
      </c>
      <c r="Z7">
        <f>Q34/D15</f>
        <v>0.0024342612419700218</v>
      </c>
      <c r="AA7">
        <f>V34</f>
        <v>75.39822368615503</v>
      </c>
      <c r="AB7">
        <f>AA7*Z7</f>
        <v>0.18353897363259328</v>
      </c>
    </row>
    <row r="8" spans="1:28" ht="12.75">
      <c r="A8" t="s">
        <v>25</v>
      </c>
      <c r="B8">
        <v>2</v>
      </c>
      <c r="C8">
        <v>50</v>
      </c>
      <c r="D8">
        <v>2460</v>
      </c>
      <c r="E8">
        <v>1.57</v>
      </c>
      <c r="F8">
        <f>Q30*V24</f>
        <v>5850.336671367984</v>
      </c>
      <c r="G8">
        <f>(1-P30)*D8*$AB$18</f>
        <v>20776.99773113997</v>
      </c>
      <c r="H8">
        <f t="shared" si="0"/>
        <v>26627.334402507957</v>
      </c>
      <c r="I8">
        <f>F8/1000*0.2</f>
        <v>1.170067334273597</v>
      </c>
      <c r="J8">
        <f>I8*0.5</f>
        <v>0.5850336671367985</v>
      </c>
      <c r="K8">
        <f t="shared" si="1"/>
        <v>24466.107959660912</v>
      </c>
      <c r="O8" t="s">
        <v>20</v>
      </c>
      <c r="P8">
        <v>0.68</v>
      </c>
      <c r="Q8">
        <f>P8*D5</f>
        <v>2298.4</v>
      </c>
      <c r="S8">
        <v>2</v>
      </c>
      <c r="T8">
        <v>1</v>
      </c>
      <c r="U8">
        <v>1</v>
      </c>
      <c r="V8">
        <f>PI()*T8^2*U8</f>
        <v>3.141592653589793</v>
      </c>
      <c r="Y8" t="s">
        <v>33</v>
      </c>
      <c r="Z8">
        <f>Q43/$D$15</f>
        <v>0.00987294789436117</v>
      </c>
      <c r="AA8">
        <f>V43</f>
        <v>98.96016858807849</v>
      </c>
      <c r="AB8">
        <f aca="true" t="shared" si="2" ref="AB8:AB17">AA8*Z8</f>
        <v>0.977028588087296</v>
      </c>
    </row>
    <row r="9" spans="1:28" ht="12.75">
      <c r="A9" t="s">
        <v>22</v>
      </c>
      <c r="B9">
        <v>2</v>
      </c>
      <c r="C9">
        <v>48</v>
      </c>
      <c r="D9">
        <v>870</v>
      </c>
      <c r="E9">
        <v>3.03</v>
      </c>
      <c r="F9">
        <f>Q33*V33+Q34*V34+Q35*V35</f>
        <v>8589.377423299233</v>
      </c>
      <c r="G9">
        <f>(1-P36)*D9*$AB$18</f>
        <v>4354.348214656255</v>
      </c>
      <c r="H9">
        <f t="shared" si="0"/>
        <v>12943.725637955487</v>
      </c>
      <c r="I9">
        <f aca="true" t="shared" si="3" ref="I9:I14">F9/1000*0.2</f>
        <v>1.7178754846598467</v>
      </c>
      <c r="J9">
        <f aca="true" t="shared" si="4" ref="J9:J14">I9*0.5</f>
        <v>0.8589377423299234</v>
      </c>
      <c r="K9">
        <f t="shared" si="1"/>
        <v>35920.77638423739</v>
      </c>
      <c r="O9" t="s">
        <v>21</v>
      </c>
      <c r="P9">
        <v>0.079</v>
      </c>
      <c r="Q9">
        <f>P9*D5</f>
        <v>267.02</v>
      </c>
      <c r="S9">
        <v>2</v>
      </c>
      <c r="T9">
        <v>1</v>
      </c>
      <c r="U9">
        <v>1</v>
      </c>
      <c r="V9">
        <f>PI()*T9^2*U9</f>
        <v>3.141592653589793</v>
      </c>
      <c r="Y9" t="s">
        <v>34</v>
      </c>
      <c r="Z9">
        <f>Q44/$D$15</f>
        <v>0.006455389007851535</v>
      </c>
      <c r="AA9">
        <f>V44</f>
        <v>72</v>
      </c>
      <c r="AB9">
        <f t="shared" si="2"/>
        <v>0.46478800856531055</v>
      </c>
    </row>
    <row r="10" spans="1:28" ht="12.75">
      <c r="A10" t="s">
        <v>26</v>
      </c>
      <c r="B10">
        <v>2</v>
      </c>
      <c r="C10">
        <v>52</v>
      </c>
      <c r="D10">
        <v>3345</v>
      </c>
      <c r="E10">
        <v>1.55</v>
      </c>
      <c r="F10">
        <f>Q39*V39</f>
        <v>7566.211746905658</v>
      </c>
      <c r="G10">
        <f>(1-P39)*D10*$AB$18</f>
        <v>32553.340819341065</v>
      </c>
      <c r="H10">
        <f>F10+G10</f>
        <v>40119.552566246726</v>
      </c>
      <c r="I10">
        <f t="shared" si="3"/>
        <v>1.5132423493811318</v>
      </c>
      <c r="J10">
        <f t="shared" si="4"/>
        <v>0.7566211746905659</v>
      </c>
      <c r="K10">
        <f t="shared" si="1"/>
        <v>31641.897525559467</v>
      </c>
      <c r="P10">
        <f>P8+P9</f>
        <v>0.759</v>
      </c>
      <c r="Q10">
        <f>Q8+Q9</f>
        <v>2565.42</v>
      </c>
      <c r="Y10" t="s">
        <v>35</v>
      </c>
      <c r="Z10">
        <f>Q45/$D$15</f>
        <v>0.005582012847965738</v>
      </c>
      <c r="AA10">
        <f>V45</f>
        <v>530.1437602932776</v>
      </c>
      <c r="AB10">
        <f t="shared" si="2"/>
        <v>2.9592692812259442</v>
      </c>
    </row>
    <row r="11" spans="1:28" ht="12.75">
      <c r="A11" t="s">
        <v>27</v>
      </c>
      <c r="B11">
        <v>2</v>
      </c>
      <c r="C11">
        <v>28</v>
      </c>
      <c r="D11">
        <v>1330</v>
      </c>
      <c r="E11">
        <v>2.34</v>
      </c>
      <c r="F11">
        <f>Q43*V43+Q44*V44+Q45*V45+Q46*V46</f>
        <v>274483.59787579963</v>
      </c>
      <c r="G11">
        <f>(1-P47)*D11*$AB$18</f>
        <v>14006.695298725443</v>
      </c>
      <c r="H11">
        <f>F11+G11</f>
        <v>288490.2931745251</v>
      </c>
      <c r="I11">
        <f t="shared" si="3"/>
        <v>54.896719575159935</v>
      </c>
      <c r="J11">
        <f t="shared" si="4"/>
        <v>27.448359787579967</v>
      </c>
      <c r="K11">
        <f t="shared" si="1"/>
        <v>1147890.4063165942</v>
      </c>
      <c r="Y11" t="s">
        <v>36</v>
      </c>
      <c r="Z11">
        <f>Q46/$D$15</f>
        <v>0.004556745182012848</v>
      </c>
      <c r="AA11">
        <f>V46</f>
        <v>753.9822368615503</v>
      </c>
      <c r="AB11">
        <f t="shared" si="2"/>
        <v>3.4357049251421388</v>
      </c>
    </row>
    <row r="12" spans="1:28" ht="12.75">
      <c r="A12" t="s">
        <v>28</v>
      </c>
      <c r="B12">
        <v>1</v>
      </c>
      <c r="C12">
        <v>29</v>
      </c>
      <c r="D12">
        <v>2900</v>
      </c>
      <c r="E12">
        <v>1.89</v>
      </c>
      <c r="F12">
        <f>(Q51+Q52)*V51+Q53*V53</f>
        <v>165870.9608415402</v>
      </c>
      <c r="G12">
        <f>(1-P54)*D12*$AB$18</f>
        <v>13808.92836592377</v>
      </c>
      <c r="H12">
        <f>F12+G12</f>
        <v>179679.88920746394</v>
      </c>
      <c r="I12">
        <f t="shared" si="3"/>
        <v>33.17419216830804</v>
      </c>
      <c r="J12">
        <f t="shared" si="4"/>
        <v>16.58709608415402</v>
      </c>
      <c r="K12">
        <f t="shared" si="1"/>
        <v>693672.358239321</v>
      </c>
      <c r="O12" t="s">
        <v>23</v>
      </c>
      <c r="Y12" t="s">
        <v>37</v>
      </c>
      <c r="Z12">
        <f>Q53/D15</f>
        <v>0.0071206281227694495</v>
      </c>
      <c r="AA12">
        <f>V53</f>
        <v>636.6961111275314</v>
      </c>
      <c r="AB12">
        <f t="shared" si="2"/>
        <v>4.533676234552643</v>
      </c>
    </row>
    <row r="13" spans="1:28" ht="12.75">
      <c r="A13" t="s">
        <v>29</v>
      </c>
      <c r="B13">
        <v>2</v>
      </c>
      <c r="C13">
        <v>70</v>
      </c>
      <c r="D13">
        <v>2235</v>
      </c>
      <c r="E13">
        <v>3.4</v>
      </c>
      <c r="F13">
        <f>Q56*V56+Q57*V57+Q58*V58+Q59*V59</f>
        <v>269071.10795970453</v>
      </c>
      <c r="G13">
        <f>(1-P60)*D13*$AB$18</f>
        <v>43501.77383033021</v>
      </c>
      <c r="H13">
        <f>F13+G13</f>
        <v>312572.88179003476</v>
      </c>
      <c r="I13">
        <f t="shared" si="3"/>
        <v>53.81422159194091</v>
      </c>
      <c r="J13">
        <f t="shared" si="4"/>
        <v>26.907110795970453</v>
      </c>
      <c r="K13">
        <f t="shared" si="1"/>
        <v>1125255.3734874844</v>
      </c>
      <c r="O13" t="s">
        <v>2</v>
      </c>
      <c r="P13" t="s">
        <v>8</v>
      </c>
      <c r="Q13" t="s">
        <v>5</v>
      </c>
      <c r="R13" t="s">
        <v>9</v>
      </c>
      <c r="S13" t="s">
        <v>11</v>
      </c>
      <c r="T13" t="s">
        <v>12</v>
      </c>
      <c r="U13" t="s">
        <v>6</v>
      </c>
      <c r="V13" t="s">
        <v>13</v>
      </c>
      <c r="Y13" t="s">
        <v>38</v>
      </c>
      <c r="Z13">
        <f>Q56/$D$15</f>
        <v>0.009571734475374733</v>
      </c>
      <c r="AA13">
        <f>V56</f>
        <v>490.8738521234052</v>
      </c>
      <c r="AB13">
        <f t="shared" si="2"/>
        <v>4.698514173429596</v>
      </c>
    </row>
    <row r="14" spans="1:28" ht="12.75">
      <c r="A14" t="s">
        <v>30</v>
      </c>
      <c r="B14">
        <v>2</v>
      </c>
      <c r="C14">
        <v>62</v>
      </c>
      <c r="D14">
        <v>870</v>
      </c>
      <c r="E14">
        <v>2.59</v>
      </c>
      <c r="F14">
        <f>Q62*V62+Q63*V63+Q64*V64</f>
        <v>52217.51105274471</v>
      </c>
      <c r="G14">
        <f>(1-P65)*D14*$AB$18</f>
        <v>12095.411707378482</v>
      </c>
      <c r="H14">
        <f>F14+G14</f>
        <v>64312.92276012319</v>
      </c>
      <c r="I14">
        <f t="shared" si="3"/>
        <v>10.443502210548942</v>
      </c>
      <c r="J14">
        <f t="shared" si="4"/>
        <v>5.221751105274471</v>
      </c>
      <c r="K14">
        <f t="shared" si="1"/>
        <v>218373.63122257838</v>
      </c>
      <c r="O14" t="s">
        <v>20</v>
      </c>
      <c r="P14">
        <v>0.52</v>
      </c>
      <c r="Q14">
        <f>P14*D6</f>
        <v>1141.4</v>
      </c>
      <c r="S14">
        <v>2</v>
      </c>
      <c r="T14">
        <v>1</v>
      </c>
      <c r="U14">
        <v>1</v>
      </c>
      <c r="V14">
        <f>PI()*T14^2*U14</f>
        <v>3.141592653589793</v>
      </c>
      <c r="Y14" t="s">
        <v>39</v>
      </c>
      <c r="Z14">
        <f>Q57/$D$15</f>
        <v>0.009571734475374733</v>
      </c>
      <c r="AA14">
        <f>V57</f>
        <v>96.21127501618741</v>
      </c>
      <c r="AB14">
        <f t="shared" si="2"/>
        <v>0.9209087779922008</v>
      </c>
    </row>
    <row r="15" spans="3:28" ht="12.75">
      <c r="C15">
        <f>SUM(C4:C14)</f>
        <v>545</v>
      </c>
      <c r="D15">
        <f>SUM(D4:D14)</f>
        <v>35025</v>
      </c>
      <c r="F15">
        <f>SUM(F4:F14)</f>
        <v>1240798.5466253555</v>
      </c>
      <c r="G15">
        <f>SUM(G4:G14)</f>
        <v>324959.74506056495</v>
      </c>
      <c r="H15">
        <f>SUM(H4:H14)</f>
        <v>1565758.2916859204</v>
      </c>
      <c r="I15">
        <f>SUM(I4:I14)</f>
        <v>266.19160470951925</v>
      </c>
      <c r="J15">
        <f>SUM(J4:J14)</f>
        <v>133.09580235475963</v>
      </c>
      <c r="K15">
        <f t="shared" si="1"/>
        <v>5566066.454476047</v>
      </c>
      <c r="O15" t="s">
        <v>32</v>
      </c>
      <c r="P15">
        <v>0.073</v>
      </c>
      <c r="Q15">
        <f>P15*D6</f>
        <v>160.23499999999999</v>
      </c>
      <c r="R15">
        <v>25</v>
      </c>
      <c r="S15">
        <v>0.5</v>
      </c>
      <c r="T15">
        <v>0.25</v>
      </c>
      <c r="V15">
        <f>PI()*T15^2*R15</f>
        <v>4.908738521234052</v>
      </c>
      <c r="Y15" t="s">
        <v>40</v>
      </c>
      <c r="Z15">
        <f>Q58/$D$15</f>
        <v>0.004466809421841542</v>
      </c>
      <c r="AA15">
        <f>V58</f>
        <v>376.99111843077515</v>
      </c>
      <c r="AB15">
        <f t="shared" si="2"/>
        <v>1.683947479757167</v>
      </c>
    </row>
    <row r="16" spans="16:28" ht="12.75">
      <c r="P16">
        <f>P14+P15</f>
        <v>0.593</v>
      </c>
      <c r="Q16">
        <f>Q14+Q15</f>
        <v>1301.635</v>
      </c>
      <c r="Y16" t="s">
        <v>43</v>
      </c>
      <c r="Z16">
        <f>Q59/$D$15</f>
        <v>0.004466809421841542</v>
      </c>
      <c r="AA16">
        <f>V59</f>
        <v>84.82300164692441</v>
      </c>
      <c r="AB16">
        <f t="shared" si="2"/>
        <v>0.3788881829453626</v>
      </c>
    </row>
    <row r="17" spans="1:28" ht="12.75">
      <c r="A17" t="s">
        <v>53</v>
      </c>
      <c r="O17" t="s">
        <v>24</v>
      </c>
      <c r="Y17" t="s">
        <v>41</v>
      </c>
      <c r="Z17">
        <f>Q63/D15</f>
        <v>0.004471092077087794</v>
      </c>
      <c r="AA17">
        <f>V63</f>
        <v>150.79644737231007</v>
      </c>
      <c r="AB17">
        <f t="shared" si="2"/>
        <v>0.674224801099322</v>
      </c>
    </row>
    <row r="18" spans="15:28" ht="12.75">
      <c r="O18" t="s">
        <v>2</v>
      </c>
      <c r="P18" t="s">
        <v>8</v>
      </c>
      <c r="Q18" t="s">
        <v>5</v>
      </c>
      <c r="R18" t="s">
        <v>9</v>
      </c>
      <c r="S18" t="s">
        <v>11</v>
      </c>
      <c r="T18" t="s">
        <v>12</v>
      </c>
      <c r="U18" t="s">
        <v>6</v>
      </c>
      <c r="V18" t="s">
        <v>13</v>
      </c>
      <c r="Y18" t="s">
        <v>48</v>
      </c>
      <c r="AB18">
        <f>SUM(AB4:AB17)</f>
        <v>34.756930193616334</v>
      </c>
    </row>
    <row r="19" spans="1:22" ht="12.75">
      <c r="A19" t="s">
        <v>54</v>
      </c>
      <c r="B19" t="s">
        <v>55</v>
      </c>
      <c r="C19" t="s">
        <v>137</v>
      </c>
      <c r="D19" t="s">
        <v>15</v>
      </c>
      <c r="E19" t="s">
        <v>56</v>
      </c>
      <c r="F19" t="s">
        <v>295</v>
      </c>
      <c r="G19" t="s">
        <v>296</v>
      </c>
      <c r="H19" t="s">
        <v>297</v>
      </c>
      <c r="I19" t="s">
        <v>300</v>
      </c>
      <c r="O19" t="s">
        <v>20</v>
      </c>
      <c r="P19">
        <v>0.6</v>
      </c>
      <c r="Q19">
        <f>P19*D7</f>
        <v>1482</v>
      </c>
      <c r="S19">
        <v>2</v>
      </c>
      <c r="T19">
        <v>1</v>
      </c>
      <c r="U19">
        <v>1</v>
      </c>
      <c r="V19">
        <f>PI()*T19^2*U19</f>
        <v>3.141592653589793</v>
      </c>
    </row>
    <row r="20" spans="1:10" ht="12.75">
      <c r="A20">
        <f>D15/11</f>
        <v>3184.090909090909</v>
      </c>
      <c r="B20">
        <f>I15/11</f>
        <v>24.199236791774478</v>
      </c>
      <c r="C20">
        <f>J15/11</f>
        <v>12.099618395887239</v>
      </c>
      <c r="D20">
        <f>K15/11</f>
        <v>506006.0413160043</v>
      </c>
      <c r="E20">
        <f>C15/11</f>
        <v>49.54545454545455</v>
      </c>
      <c r="F20">
        <f>B20/A20*1000</f>
        <v>7.600045816117609</v>
      </c>
      <c r="G20">
        <f>12/22.4*F22</f>
        <v>0.06307340854178661</v>
      </c>
      <c r="H20">
        <f>G20*A20/1000</f>
        <v>0.20083146674327965</v>
      </c>
      <c r="I20">
        <f>(H20+H21)/2</f>
        <v>0.12551966671454978</v>
      </c>
      <c r="J20">
        <f>I20/4</f>
        <v>0.031379916678637446</v>
      </c>
    </row>
    <row r="21" spans="6:8" ht="12.75">
      <c r="F21">
        <f>LOG10(F20)</f>
        <v>0.8808162103896182</v>
      </c>
      <c r="G21" t="s">
        <v>298</v>
      </c>
      <c r="H21">
        <f>H20*0.25</f>
        <v>0.05020786668581991</v>
      </c>
    </row>
    <row r="22" spans="5:15" ht="12.75">
      <c r="E22" t="s">
        <v>299</v>
      </c>
      <c r="F22">
        <f>0.021*F20^0.85</f>
        <v>0.11773702927800168</v>
      </c>
      <c r="O22" t="s">
        <v>25</v>
      </c>
    </row>
    <row r="23" spans="15:22" ht="12.75">
      <c r="O23" t="s">
        <v>2</v>
      </c>
      <c r="P23" t="s">
        <v>8</v>
      </c>
      <c r="Q23" t="s">
        <v>5</v>
      </c>
      <c r="R23" t="s">
        <v>9</v>
      </c>
      <c r="S23" t="s">
        <v>11</v>
      </c>
      <c r="T23" t="s">
        <v>12</v>
      </c>
      <c r="U23" t="s">
        <v>6</v>
      </c>
      <c r="V23" t="s">
        <v>13</v>
      </c>
    </row>
    <row r="24" spans="15:22" ht="12.75">
      <c r="O24" t="s">
        <v>20</v>
      </c>
      <c r="P24">
        <v>0.7</v>
      </c>
      <c r="Q24">
        <f>P24*D8</f>
        <v>1722</v>
      </c>
      <c r="S24">
        <v>2</v>
      </c>
      <c r="T24">
        <v>1</v>
      </c>
      <c r="U24">
        <v>1</v>
      </c>
      <c r="V24">
        <f>PI()*T24^2*U24</f>
        <v>3.141592653589793</v>
      </c>
    </row>
    <row r="26" ht="12.75">
      <c r="A26" t="s">
        <v>180</v>
      </c>
    </row>
    <row r="27" spans="1:11" ht="12.75">
      <c r="A27" t="s">
        <v>166</v>
      </c>
      <c r="B27" s="2">
        <v>103600000</v>
      </c>
      <c r="C27" t="s">
        <v>167</v>
      </c>
      <c r="D27" t="s">
        <v>168</v>
      </c>
      <c r="J27" t="s">
        <v>257</v>
      </c>
      <c r="K27" s="2">
        <f>K28+K29</f>
        <v>1050000000</v>
      </c>
    </row>
    <row r="28" spans="1:22" ht="12.75">
      <c r="A28" t="s">
        <v>169</v>
      </c>
      <c r="B28" s="2">
        <v>54400000</v>
      </c>
      <c r="C28" t="s">
        <v>167</v>
      </c>
      <c r="D28" t="s">
        <v>170</v>
      </c>
      <c r="J28" t="s">
        <v>258</v>
      </c>
      <c r="K28" s="2">
        <v>560000000</v>
      </c>
      <c r="O28" t="s">
        <v>21</v>
      </c>
      <c r="P28">
        <v>0.057</v>
      </c>
      <c r="Q28">
        <f>P28*D8</f>
        <v>140.22</v>
      </c>
      <c r="S28">
        <v>2</v>
      </c>
      <c r="T28">
        <v>1</v>
      </c>
      <c r="U28">
        <v>1</v>
      </c>
      <c r="V28">
        <f>PI()*T28^2*U28</f>
        <v>3.141592653589793</v>
      </c>
    </row>
    <row r="29" spans="1:11" ht="12.75">
      <c r="A29" t="s">
        <v>171</v>
      </c>
      <c r="B29" s="2">
        <v>49200000</v>
      </c>
      <c r="C29" t="s">
        <v>167</v>
      </c>
      <c r="D29" t="s">
        <v>172</v>
      </c>
      <c r="J29" t="s">
        <v>259</v>
      </c>
      <c r="K29" s="2">
        <v>490000000</v>
      </c>
    </row>
    <row r="30" spans="1:17" ht="12.75">
      <c r="A30" t="s">
        <v>228</v>
      </c>
      <c r="J30" t="s">
        <v>270</v>
      </c>
      <c r="K30" s="2">
        <v>361000000</v>
      </c>
      <c r="P30">
        <f>P24+P28</f>
        <v>0.757</v>
      </c>
      <c r="Q30">
        <f>Q24+Q28</f>
        <v>1862.22</v>
      </c>
    </row>
    <row r="31" spans="2:15" ht="12.75">
      <c r="B31" t="s">
        <v>242</v>
      </c>
      <c r="F31" t="s">
        <v>255</v>
      </c>
      <c r="G31" t="s">
        <v>218</v>
      </c>
      <c r="H31" t="s">
        <v>249</v>
      </c>
      <c r="O31" t="s">
        <v>22</v>
      </c>
    </row>
    <row r="32" spans="1:22" ht="12.75">
      <c r="A32" t="s">
        <v>229</v>
      </c>
      <c r="B32">
        <v>6420.21</v>
      </c>
      <c r="E32" t="s">
        <v>243</v>
      </c>
      <c r="F32" s="2">
        <v>9950000</v>
      </c>
      <c r="O32" t="s">
        <v>2</v>
      </c>
      <c r="P32" t="s">
        <v>8</v>
      </c>
      <c r="Q32" t="s">
        <v>5</v>
      </c>
      <c r="R32" t="s">
        <v>9</v>
      </c>
      <c r="S32" t="s">
        <v>11</v>
      </c>
      <c r="T32" t="s">
        <v>12</v>
      </c>
      <c r="U32" t="s">
        <v>6</v>
      </c>
      <c r="V32" t="s">
        <v>13</v>
      </c>
    </row>
    <row r="33" spans="1:22" ht="12.75">
      <c r="A33" t="s">
        <v>230</v>
      </c>
      <c r="B33">
        <v>747.26</v>
      </c>
      <c r="E33" t="s">
        <v>244</v>
      </c>
      <c r="F33" s="2">
        <v>9160000</v>
      </c>
      <c r="O33" t="s">
        <v>20</v>
      </c>
      <c r="P33">
        <v>0.7</v>
      </c>
      <c r="Q33">
        <f>P33*D9</f>
        <v>609</v>
      </c>
      <c r="S33">
        <v>2</v>
      </c>
      <c r="T33">
        <v>1</v>
      </c>
      <c r="U33">
        <v>1</v>
      </c>
      <c r="V33">
        <f>PI()*T33^2*U33</f>
        <v>3.141592653589793</v>
      </c>
    </row>
    <row r="34" spans="1:22" ht="12.75">
      <c r="A34" t="s">
        <v>231</v>
      </c>
      <c r="B34">
        <v>211.86</v>
      </c>
      <c r="E34" t="s">
        <v>245</v>
      </c>
      <c r="F34" s="2">
        <v>960000</v>
      </c>
      <c r="O34" t="s">
        <v>31</v>
      </c>
      <c r="P34">
        <v>0.098</v>
      </c>
      <c r="Q34">
        <f>P34*D9</f>
        <v>85.26</v>
      </c>
      <c r="R34">
        <v>12</v>
      </c>
      <c r="S34">
        <v>6</v>
      </c>
      <c r="T34">
        <v>3</v>
      </c>
      <c r="U34">
        <v>4</v>
      </c>
      <c r="V34">
        <f>2/3*PI()*U34/2*S34/2*R34/2</f>
        <v>75.39822368615503</v>
      </c>
    </row>
    <row r="35" spans="1:22" ht="12.75">
      <c r="A35" t="s">
        <v>232</v>
      </c>
      <c r="B35">
        <v>435.5</v>
      </c>
      <c r="E35" t="s">
        <v>246</v>
      </c>
      <c r="F35" s="2">
        <v>212000</v>
      </c>
      <c r="O35" t="s">
        <v>32</v>
      </c>
      <c r="P35">
        <v>0.058</v>
      </c>
      <c r="Q35">
        <f>P35*D9</f>
        <v>50.46</v>
      </c>
      <c r="R35">
        <v>25</v>
      </c>
      <c r="S35">
        <v>0.5</v>
      </c>
      <c r="T35">
        <v>0.25</v>
      </c>
      <c r="V35">
        <f>PI()*T35^2*R35</f>
        <v>4.908738521234052</v>
      </c>
    </row>
    <row r="36" spans="1:16" ht="12.75">
      <c r="A36" t="s">
        <v>233</v>
      </c>
      <c r="B36">
        <v>589.4</v>
      </c>
      <c r="E36" t="s">
        <v>247</v>
      </c>
      <c r="F36" s="2">
        <f>SUM(F32:F35)</f>
        <v>20282000</v>
      </c>
      <c r="H36">
        <v>0.77</v>
      </c>
      <c r="I36" s="2">
        <f>H36*F36</f>
        <v>15617140</v>
      </c>
      <c r="N36" t="s">
        <v>264</v>
      </c>
      <c r="P36">
        <f>SUM(P33:P35)</f>
        <v>0.856</v>
      </c>
    </row>
    <row r="37" spans="1:15" ht="12.75">
      <c r="A37" t="s">
        <v>234</v>
      </c>
      <c r="B37">
        <v>344.7</v>
      </c>
      <c r="E37" t="s">
        <v>248</v>
      </c>
      <c r="F37" s="2">
        <v>1860000</v>
      </c>
      <c r="H37">
        <v>0.31</v>
      </c>
      <c r="I37" s="2">
        <f>H37*F37</f>
        <v>576600</v>
      </c>
      <c r="O37" t="s">
        <v>26</v>
      </c>
    </row>
    <row r="38" spans="1:22" ht="12.75">
      <c r="A38" t="s">
        <v>235</v>
      </c>
      <c r="B38">
        <v>548.18</v>
      </c>
      <c r="E38" t="s">
        <v>250</v>
      </c>
      <c r="F38" s="2">
        <f>B27</f>
        <v>103600000</v>
      </c>
      <c r="H38">
        <v>0.05</v>
      </c>
      <c r="I38" s="2">
        <f>H38*F38</f>
        <v>5180000</v>
      </c>
      <c r="O38" t="s">
        <v>2</v>
      </c>
      <c r="P38" t="s">
        <v>8</v>
      </c>
      <c r="Q38" t="s">
        <v>5</v>
      </c>
      <c r="R38" t="s">
        <v>9</v>
      </c>
      <c r="S38" t="s">
        <v>11</v>
      </c>
      <c r="T38" t="s">
        <v>12</v>
      </c>
      <c r="U38" t="s">
        <v>6</v>
      </c>
      <c r="V38" t="s">
        <v>13</v>
      </c>
    </row>
    <row r="39" spans="1:22" ht="12.75">
      <c r="A39" t="s">
        <v>236</v>
      </c>
      <c r="B39">
        <v>270.45</v>
      </c>
      <c r="E39" t="s">
        <v>251</v>
      </c>
      <c r="F39" s="2">
        <v>56300000</v>
      </c>
      <c r="H39">
        <v>0.2</v>
      </c>
      <c r="I39" s="2">
        <f>H39*F39</f>
        <v>11260000</v>
      </c>
      <c r="O39" t="s">
        <v>20</v>
      </c>
      <c r="P39">
        <v>0.72</v>
      </c>
      <c r="Q39">
        <f>P39*D10</f>
        <v>2408.4</v>
      </c>
      <c r="S39">
        <v>2</v>
      </c>
      <c r="T39">
        <v>1</v>
      </c>
      <c r="U39">
        <v>1</v>
      </c>
      <c r="V39">
        <f>PI()*T39^2*U39</f>
        <v>3.141592653589793</v>
      </c>
    </row>
    <row r="40" spans="1:9" ht="12.75">
      <c r="A40" t="s">
        <v>237</v>
      </c>
      <c r="B40">
        <v>247.41</v>
      </c>
      <c r="E40" t="s">
        <v>252</v>
      </c>
      <c r="I40" s="2">
        <f>SUM(I36:I39)</f>
        <v>32633740</v>
      </c>
    </row>
    <row r="41" spans="1:15" ht="12.75">
      <c r="A41" t="s">
        <v>238</v>
      </c>
      <c r="B41">
        <v>595.7</v>
      </c>
      <c r="E41" t="s">
        <v>254</v>
      </c>
      <c r="I41" s="2">
        <f>I40/B27</f>
        <v>0.31499749034749036</v>
      </c>
      <c r="O41" t="s">
        <v>27</v>
      </c>
    </row>
    <row r="42" spans="1:22" ht="12.75">
      <c r="A42" t="s">
        <v>239</v>
      </c>
      <c r="B42">
        <v>340.55</v>
      </c>
      <c r="E42" t="s">
        <v>253</v>
      </c>
      <c r="I42" s="2">
        <f>I41*365</f>
        <v>114.97408397683398</v>
      </c>
      <c r="O42" t="s">
        <v>2</v>
      </c>
      <c r="P42" t="s">
        <v>8</v>
      </c>
      <c r="Q42" t="s">
        <v>5</v>
      </c>
      <c r="R42" t="s">
        <v>9</v>
      </c>
      <c r="S42" t="s">
        <v>11</v>
      </c>
      <c r="T42" t="s">
        <v>12</v>
      </c>
      <c r="U42" t="s">
        <v>6</v>
      </c>
      <c r="V42" t="s">
        <v>13</v>
      </c>
    </row>
    <row r="43" spans="1:22" ht="12.75">
      <c r="A43" t="s">
        <v>240</v>
      </c>
      <c r="B43">
        <v>349.64</v>
      </c>
      <c r="E43" t="s">
        <v>256</v>
      </c>
      <c r="F43" s="2">
        <f>B28*0.25</f>
        <v>13600000</v>
      </c>
      <c r="H43">
        <v>0.09</v>
      </c>
      <c r="I43" s="2">
        <f>H43*F43</f>
        <v>1224000</v>
      </c>
      <c r="O43" t="s">
        <v>33</v>
      </c>
      <c r="P43">
        <v>0.26</v>
      </c>
      <c r="Q43">
        <f>P43*D11</f>
        <v>345.8</v>
      </c>
      <c r="R43">
        <v>14</v>
      </c>
      <c r="S43">
        <v>3</v>
      </c>
      <c r="T43">
        <v>1.5</v>
      </c>
      <c r="V43">
        <f>PI()*T43^2*R43</f>
        <v>98.96016858807849</v>
      </c>
    </row>
    <row r="44" spans="1:22" ht="12.75">
      <c r="A44" t="s">
        <v>241</v>
      </c>
      <c r="B44">
        <v>298.97</v>
      </c>
      <c r="E44" t="s">
        <v>260</v>
      </c>
      <c r="G44">
        <v>0.01</v>
      </c>
      <c r="I44" s="2">
        <f>G44*K29</f>
        <v>4900000</v>
      </c>
      <c r="O44" t="s">
        <v>34</v>
      </c>
      <c r="P44">
        <v>0.17</v>
      </c>
      <c r="Q44">
        <f>P44*D11</f>
        <v>226.10000000000002</v>
      </c>
      <c r="R44">
        <v>9</v>
      </c>
      <c r="S44">
        <v>4</v>
      </c>
      <c r="U44">
        <v>2</v>
      </c>
      <c r="V44">
        <f>R44*S44*U44</f>
        <v>72</v>
      </c>
    </row>
    <row r="45" spans="2:22" ht="12.75">
      <c r="B45">
        <f>SUM(B32:B44)</f>
        <v>11399.83</v>
      </c>
      <c r="E45" t="s">
        <v>261</v>
      </c>
      <c r="H45" s="2">
        <f>I45/B27</f>
        <v>0.2558855212355212</v>
      </c>
      <c r="I45" s="2">
        <f>I40-I43-I44</f>
        <v>26509740</v>
      </c>
      <c r="J45" s="2"/>
      <c r="O45" t="s">
        <v>35</v>
      </c>
      <c r="P45">
        <v>0.147</v>
      </c>
      <c r="Q45">
        <f>P45*D11</f>
        <v>195.51</v>
      </c>
      <c r="R45">
        <v>75</v>
      </c>
      <c r="S45">
        <v>3</v>
      </c>
      <c r="T45">
        <v>1.5</v>
      </c>
      <c r="V45">
        <f>PI()*T45^2*R45</f>
        <v>530.1437602932776</v>
      </c>
    </row>
    <row r="46" spans="2:22" ht="12.75">
      <c r="B46">
        <f>B45*10000</f>
        <v>113998300</v>
      </c>
      <c r="E46" t="s">
        <v>262</v>
      </c>
      <c r="H46" s="2">
        <f>I46/B27</f>
        <v>0.19288602316602316</v>
      </c>
      <c r="I46" s="2">
        <f>0.8*I40-I43-I44</f>
        <v>19982992</v>
      </c>
      <c r="J46" t="s">
        <v>376</v>
      </c>
      <c r="O46" t="s">
        <v>36</v>
      </c>
      <c r="P46">
        <v>0.12</v>
      </c>
      <c r="Q46">
        <f>P46*D11</f>
        <v>159.6</v>
      </c>
      <c r="R46">
        <v>60</v>
      </c>
      <c r="S46">
        <v>4</v>
      </c>
      <c r="T46">
        <v>2</v>
      </c>
      <c r="V46">
        <f>PI()*T46^2*R46</f>
        <v>753.9822368615503</v>
      </c>
    </row>
    <row r="47" spans="5:16" ht="12.75">
      <c r="E47" t="s">
        <v>263</v>
      </c>
      <c r="H47" s="2">
        <f>I47/B27</f>
        <v>0.06299949806949807</v>
      </c>
      <c r="I47" s="2">
        <f>I45-I46</f>
        <v>6526748</v>
      </c>
      <c r="P47">
        <f>SUM(P43:P46)</f>
        <v>0.6970000000000001</v>
      </c>
    </row>
    <row r="49" ht="12.75">
      <c r="O49" t="s">
        <v>28</v>
      </c>
    </row>
    <row r="50" spans="15:22" ht="12.75">
      <c r="O50" t="s">
        <v>2</v>
      </c>
      <c r="P50" t="s">
        <v>8</v>
      </c>
      <c r="Q50" t="s">
        <v>5</v>
      </c>
      <c r="R50" t="s">
        <v>9</v>
      </c>
      <c r="S50" t="s">
        <v>11</v>
      </c>
      <c r="T50" t="s">
        <v>12</v>
      </c>
      <c r="U50" t="s">
        <v>6</v>
      </c>
      <c r="V50" t="s">
        <v>13</v>
      </c>
    </row>
    <row r="51" spans="15:22" ht="12.75">
      <c r="O51" t="s">
        <v>20</v>
      </c>
      <c r="P51">
        <v>0.72</v>
      </c>
      <c r="Q51">
        <f>P51*D12</f>
        <v>2088</v>
      </c>
      <c r="S51">
        <v>2</v>
      </c>
      <c r="T51">
        <v>1</v>
      </c>
      <c r="U51">
        <v>1</v>
      </c>
      <c r="V51">
        <f>PI()*T51^2*U51</f>
        <v>3.141592653589793</v>
      </c>
    </row>
    <row r="52" spans="15:22" ht="12.75">
      <c r="O52" t="s">
        <v>21</v>
      </c>
      <c r="P52">
        <v>0.057</v>
      </c>
      <c r="Q52">
        <f>P52*D12</f>
        <v>165.3</v>
      </c>
      <c r="S52">
        <v>2</v>
      </c>
      <c r="T52">
        <v>1</v>
      </c>
      <c r="U52">
        <v>1</v>
      </c>
      <c r="V52">
        <f>PI()*T52^2*U52</f>
        <v>3.141592653589793</v>
      </c>
    </row>
    <row r="53" spans="15:22" ht="12.75">
      <c r="O53" t="s">
        <v>37</v>
      </c>
      <c r="P53">
        <v>0.086</v>
      </c>
      <c r="Q53">
        <f>P53*D12</f>
        <v>249.39999999999998</v>
      </c>
      <c r="R53">
        <v>38</v>
      </c>
      <c r="T53">
        <v>16</v>
      </c>
      <c r="U53">
        <v>38</v>
      </c>
      <c r="V53">
        <f>1/3*PI()*T53*R53</f>
        <v>636.6961111275314</v>
      </c>
    </row>
    <row r="54" ht="12.75">
      <c r="P54">
        <f>SUM(P51:P53)</f>
        <v>0.863</v>
      </c>
    </row>
    <row r="55" ht="12.75">
      <c r="O55" t="s">
        <v>29</v>
      </c>
    </row>
    <row r="56" spans="15:22" ht="12.75">
      <c r="O56" t="s">
        <v>38</v>
      </c>
      <c r="P56">
        <v>0.15</v>
      </c>
      <c r="Q56">
        <f>P56*D13</f>
        <v>335.25</v>
      </c>
      <c r="R56">
        <v>25</v>
      </c>
      <c r="S56">
        <v>5</v>
      </c>
      <c r="T56">
        <v>2.5</v>
      </c>
      <c r="V56">
        <f>PI()*T56^2*R56</f>
        <v>490.8738521234052</v>
      </c>
    </row>
    <row r="57" spans="15:22" ht="12.75">
      <c r="O57" t="s">
        <v>39</v>
      </c>
      <c r="P57">
        <v>0.15</v>
      </c>
      <c r="Q57">
        <f>P57*D13</f>
        <v>335.25</v>
      </c>
      <c r="R57">
        <v>10</v>
      </c>
      <c r="S57">
        <v>3</v>
      </c>
      <c r="T57">
        <v>1.75</v>
      </c>
      <c r="V57">
        <f>PI()*T57^2*R57</f>
        <v>96.21127501618741</v>
      </c>
    </row>
    <row r="58" spans="15:22" ht="12.75">
      <c r="O58" t="s">
        <v>40</v>
      </c>
      <c r="P58">
        <v>0.07</v>
      </c>
      <c r="Q58">
        <f>P58*D13</f>
        <v>156.45000000000002</v>
      </c>
      <c r="R58">
        <v>30</v>
      </c>
      <c r="S58">
        <v>4</v>
      </c>
      <c r="T58">
        <v>2</v>
      </c>
      <c r="V58">
        <f>PI()*T58^2*R58</f>
        <v>376.99111843077515</v>
      </c>
    </row>
    <row r="59" spans="15:22" ht="12.75">
      <c r="O59" t="s">
        <v>43</v>
      </c>
      <c r="P59">
        <v>0.07</v>
      </c>
      <c r="Q59">
        <f>P59*D13</f>
        <v>156.45000000000002</v>
      </c>
      <c r="S59">
        <v>6</v>
      </c>
      <c r="T59">
        <v>3</v>
      </c>
      <c r="U59">
        <v>2</v>
      </c>
      <c r="V59">
        <f>PI()*T59^2*T59</f>
        <v>84.82300164692441</v>
      </c>
    </row>
    <row r="60" ht="12.75">
      <c r="P60">
        <f>SUM(P56:P59)</f>
        <v>0.44</v>
      </c>
    </row>
    <row r="61" ht="12.75">
      <c r="O61" t="s">
        <v>30</v>
      </c>
    </row>
    <row r="62" spans="15:22" ht="12.75">
      <c r="O62" t="s">
        <v>39</v>
      </c>
      <c r="P62">
        <v>0.28</v>
      </c>
      <c r="Q62">
        <f>P62*D14</f>
        <v>243.60000000000002</v>
      </c>
      <c r="R62">
        <v>10</v>
      </c>
      <c r="S62">
        <v>3</v>
      </c>
      <c r="T62">
        <v>1.75</v>
      </c>
      <c r="V62">
        <f>PI()*T62^2*R62</f>
        <v>96.21127501618741</v>
      </c>
    </row>
    <row r="63" spans="15:22" ht="12.75">
      <c r="O63" t="s">
        <v>41</v>
      </c>
      <c r="P63">
        <v>0.18</v>
      </c>
      <c r="Q63">
        <f>P63*D14</f>
        <v>156.6</v>
      </c>
      <c r="R63">
        <v>12</v>
      </c>
      <c r="S63">
        <v>4</v>
      </c>
      <c r="T63">
        <v>2</v>
      </c>
      <c r="V63">
        <f>PI()*T63^2*R63</f>
        <v>150.79644737231007</v>
      </c>
    </row>
    <row r="64" spans="15:22" ht="12.75">
      <c r="O64" t="s">
        <v>42</v>
      </c>
      <c r="P64">
        <v>0.14</v>
      </c>
      <c r="Q64">
        <f>P64*D14</f>
        <v>121.80000000000001</v>
      </c>
      <c r="R64">
        <v>6</v>
      </c>
      <c r="S64">
        <v>3</v>
      </c>
      <c r="T64">
        <f>S64/2</f>
        <v>1.5</v>
      </c>
      <c r="V64">
        <f>PI()*(T64)^2*R64</f>
        <v>42.411500823462205</v>
      </c>
    </row>
    <row r="65" ht="12.75">
      <c r="P65">
        <f>SUM(P62:P64)</f>
        <v>0.6000000000000001</v>
      </c>
    </row>
    <row r="69" ht="12.75">
      <c r="A69" t="s">
        <v>200</v>
      </c>
    </row>
    <row r="70" spans="1:8" ht="12.75">
      <c r="A70" t="s">
        <v>2</v>
      </c>
      <c r="B70" t="s">
        <v>66</v>
      </c>
      <c r="C70" t="s">
        <v>90</v>
      </c>
      <c r="D70" t="s">
        <v>87</v>
      </c>
      <c r="E70" t="s">
        <v>89</v>
      </c>
      <c r="F70" t="s">
        <v>70</v>
      </c>
      <c r="G70" t="s">
        <v>71</v>
      </c>
      <c r="H70" t="s">
        <v>201</v>
      </c>
    </row>
    <row r="71" spans="2:8" ht="12.75">
      <c r="B71">
        <v>30</v>
      </c>
      <c r="C71">
        <v>52</v>
      </c>
      <c r="D71">
        <v>126</v>
      </c>
      <c r="E71">
        <v>64</v>
      </c>
      <c r="F71">
        <v>64</v>
      </c>
      <c r="G71">
        <v>284</v>
      </c>
      <c r="H71" t="s">
        <v>85</v>
      </c>
    </row>
    <row r="72" spans="2:8" ht="12.75">
      <c r="B72">
        <v>14</v>
      </c>
      <c r="C72">
        <v>16.5</v>
      </c>
      <c r="D72" t="s">
        <v>88</v>
      </c>
      <c r="E72">
        <v>18</v>
      </c>
      <c r="F72">
        <v>18</v>
      </c>
      <c r="G72">
        <v>29</v>
      </c>
      <c r="H72" t="s">
        <v>86</v>
      </c>
    </row>
    <row r="73" ht="12.75">
      <c r="A73" t="s">
        <v>73</v>
      </c>
    </row>
    <row r="74" spans="1:14" ht="12.75">
      <c r="A74" t="s">
        <v>65</v>
      </c>
      <c r="B74" t="s">
        <v>66</v>
      </c>
      <c r="C74" t="s">
        <v>67</v>
      </c>
      <c r="D74" t="s">
        <v>68</v>
      </c>
      <c r="E74" t="s">
        <v>69</v>
      </c>
      <c r="F74" t="s">
        <v>70</v>
      </c>
      <c r="G74" t="s">
        <v>71</v>
      </c>
      <c r="H74" t="s">
        <v>72</v>
      </c>
      <c r="I74" t="s">
        <v>301</v>
      </c>
      <c r="J74" t="s">
        <v>302</v>
      </c>
      <c r="K74" t="s">
        <v>303</v>
      </c>
      <c r="L74" t="s">
        <v>304</v>
      </c>
      <c r="M74" t="s">
        <v>307</v>
      </c>
      <c r="N74" t="s">
        <v>305</v>
      </c>
    </row>
    <row r="75" spans="1:14" ht="12.75">
      <c r="A75" t="s">
        <v>58</v>
      </c>
      <c r="B75">
        <v>0</v>
      </c>
      <c r="C75">
        <v>0</v>
      </c>
      <c r="D75">
        <v>1</v>
      </c>
      <c r="E75">
        <v>0</v>
      </c>
      <c r="F75">
        <v>0</v>
      </c>
      <c r="G75">
        <v>0</v>
      </c>
      <c r="H75">
        <v>1</v>
      </c>
      <c r="I75">
        <f>H98/H75</f>
        <v>126</v>
      </c>
      <c r="J75">
        <f>I82*H82/(H82+H93)+I93*H93/(H82+H93)</f>
        <v>42.70007109090074</v>
      </c>
      <c r="K75">
        <f>912*(J75/1000)^0.704</f>
        <v>99.0413545459624</v>
      </c>
      <c r="L75">
        <f>K75*1000/4183</f>
        <v>23.67711081662979</v>
      </c>
      <c r="M75">
        <f>L75/5</f>
        <v>4.735422163325958</v>
      </c>
      <c r="N75">
        <f>M75*0.5</f>
        <v>2.367711081662979</v>
      </c>
    </row>
    <row r="76" spans="1:9" ht="12.75">
      <c r="A76" t="s">
        <v>59</v>
      </c>
      <c r="B76">
        <v>0</v>
      </c>
      <c r="C76">
        <v>0</v>
      </c>
      <c r="D76">
        <v>14</v>
      </c>
      <c r="E76">
        <v>0</v>
      </c>
      <c r="F76">
        <v>0</v>
      </c>
      <c r="G76">
        <v>0</v>
      </c>
      <c r="H76">
        <v>14</v>
      </c>
      <c r="I76">
        <f aca="true" t="shared" si="5" ref="I76:I81">H99/H76</f>
        <v>126</v>
      </c>
    </row>
    <row r="77" spans="1:14" ht="12.75">
      <c r="A77" t="s">
        <v>60</v>
      </c>
      <c r="B77">
        <v>0</v>
      </c>
      <c r="C77">
        <v>0</v>
      </c>
      <c r="D77">
        <v>11</v>
      </c>
      <c r="E77">
        <v>0</v>
      </c>
      <c r="F77">
        <v>0</v>
      </c>
      <c r="G77">
        <v>5</v>
      </c>
      <c r="H77">
        <v>16</v>
      </c>
      <c r="I77">
        <f t="shared" si="5"/>
        <v>175.375</v>
      </c>
      <c r="J77" t="s">
        <v>306</v>
      </c>
      <c r="N77" t="s">
        <v>308</v>
      </c>
    </row>
    <row r="78" spans="1:14" ht="12.75">
      <c r="A78" t="s">
        <v>61</v>
      </c>
      <c r="B78">
        <v>34</v>
      </c>
      <c r="C78">
        <v>0</v>
      </c>
      <c r="D78">
        <v>2</v>
      </c>
      <c r="E78">
        <v>1</v>
      </c>
      <c r="F78">
        <v>2</v>
      </c>
      <c r="G78">
        <v>87</v>
      </c>
      <c r="H78">
        <v>126</v>
      </c>
      <c r="I78">
        <f t="shared" si="5"/>
        <v>207.71428571428572</v>
      </c>
      <c r="J78">
        <f>J75*0.2*0.5</f>
        <v>4.270007109090074</v>
      </c>
      <c r="N78">
        <f>N75*2/0.2/0.7</f>
        <v>33.82444402375684</v>
      </c>
    </row>
    <row r="79" spans="1:9" ht="12.75">
      <c r="A79" t="s">
        <v>62</v>
      </c>
      <c r="B79">
        <v>54</v>
      </c>
      <c r="C79">
        <v>0</v>
      </c>
      <c r="D79">
        <v>3</v>
      </c>
      <c r="E79">
        <v>2</v>
      </c>
      <c r="F79">
        <v>5</v>
      </c>
      <c r="G79">
        <v>38</v>
      </c>
      <c r="H79">
        <v>102</v>
      </c>
      <c r="I79">
        <f t="shared" si="5"/>
        <v>129.7843137254902</v>
      </c>
    </row>
    <row r="80" spans="1:9" ht="12.75">
      <c r="A80" t="s">
        <v>63</v>
      </c>
      <c r="B80">
        <v>144</v>
      </c>
      <c r="C80">
        <v>0</v>
      </c>
      <c r="D80">
        <v>0</v>
      </c>
      <c r="E80">
        <v>0</v>
      </c>
      <c r="F80">
        <v>0</v>
      </c>
      <c r="G80">
        <v>69</v>
      </c>
      <c r="H80">
        <v>213</v>
      </c>
      <c r="I80">
        <f t="shared" si="5"/>
        <v>112.28169014084507</v>
      </c>
    </row>
    <row r="81" spans="1:9" ht="12.75">
      <c r="A81" t="s">
        <v>64</v>
      </c>
      <c r="B81">
        <v>42</v>
      </c>
      <c r="C81">
        <v>0</v>
      </c>
      <c r="D81">
        <v>0</v>
      </c>
      <c r="E81">
        <v>0</v>
      </c>
      <c r="F81">
        <v>0</v>
      </c>
      <c r="G81">
        <v>5</v>
      </c>
      <c r="H81">
        <v>47</v>
      </c>
      <c r="I81">
        <f t="shared" si="5"/>
        <v>57.02127659574468</v>
      </c>
    </row>
    <row r="82" spans="1:9" ht="12.75">
      <c r="A82" t="s">
        <v>83</v>
      </c>
      <c r="H82">
        <f>SUM(H75:H81)</f>
        <v>519</v>
      </c>
      <c r="I82">
        <f>SUM(I75:I81)/7</f>
        <v>133.45379516805224</v>
      </c>
    </row>
    <row r="83" spans="1:9" ht="12.75">
      <c r="A83" t="s">
        <v>65</v>
      </c>
      <c r="B83" t="s">
        <v>66</v>
      </c>
      <c r="C83" t="s">
        <v>67</v>
      </c>
      <c r="D83" t="s">
        <v>68</v>
      </c>
      <c r="E83" t="s">
        <v>69</v>
      </c>
      <c r="F83" t="s">
        <v>70</v>
      </c>
      <c r="G83" t="s">
        <v>71</v>
      </c>
      <c r="H83" t="s">
        <v>72</v>
      </c>
      <c r="I83" t="s">
        <v>301</v>
      </c>
    </row>
    <row r="84" spans="1:9" ht="12.75">
      <c r="A84" t="s">
        <v>74</v>
      </c>
      <c r="B84">
        <v>11</v>
      </c>
      <c r="C84">
        <v>0</v>
      </c>
      <c r="D84">
        <v>31</v>
      </c>
      <c r="E84">
        <v>0</v>
      </c>
      <c r="F84">
        <v>0</v>
      </c>
      <c r="G84">
        <v>0</v>
      </c>
      <c r="H84">
        <v>42</v>
      </c>
      <c r="I84">
        <f aca="true" t="shared" si="6" ref="I84:I92">H107/H84</f>
        <v>100.85714285714286</v>
      </c>
    </row>
    <row r="85" spans="1:9" ht="12.75">
      <c r="A85" t="s">
        <v>75</v>
      </c>
      <c r="B85">
        <v>748</v>
      </c>
      <c r="C85">
        <v>0</v>
      </c>
      <c r="D85">
        <v>36</v>
      </c>
      <c r="E85">
        <v>0</v>
      </c>
      <c r="F85">
        <v>3</v>
      </c>
      <c r="G85">
        <v>0</v>
      </c>
      <c r="H85">
        <v>787</v>
      </c>
      <c r="I85">
        <f t="shared" si="6"/>
        <v>34.520965692503175</v>
      </c>
    </row>
    <row r="86" spans="1:9" ht="12.75">
      <c r="A86" t="s">
        <v>76</v>
      </c>
      <c r="B86">
        <v>24093</v>
      </c>
      <c r="C86">
        <v>123</v>
      </c>
      <c r="D86">
        <v>71</v>
      </c>
      <c r="E86">
        <v>10</v>
      </c>
      <c r="F86">
        <v>1012</v>
      </c>
      <c r="G86">
        <v>4</v>
      </c>
      <c r="H86">
        <v>25313</v>
      </c>
      <c r="I86">
        <f t="shared" si="6"/>
        <v>31.789041204124363</v>
      </c>
    </row>
    <row r="87" spans="1:9" ht="12.75">
      <c r="A87" t="s">
        <v>77</v>
      </c>
      <c r="B87">
        <v>23600</v>
      </c>
      <c r="C87">
        <v>70</v>
      </c>
      <c r="D87">
        <v>20</v>
      </c>
      <c r="E87">
        <v>11</v>
      </c>
      <c r="F87">
        <v>1206</v>
      </c>
      <c r="G87">
        <v>11</v>
      </c>
      <c r="H87">
        <v>24918</v>
      </c>
      <c r="I87">
        <f t="shared" si="6"/>
        <v>31.911549883618267</v>
      </c>
    </row>
    <row r="88" spans="1:9" ht="12.75">
      <c r="A88" t="s">
        <v>78</v>
      </c>
      <c r="B88">
        <v>75782</v>
      </c>
      <c r="C88">
        <v>51</v>
      </c>
      <c r="D88">
        <v>10</v>
      </c>
      <c r="E88">
        <v>134</v>
      </c>
      <c r="F88">
        <v>928</v>
      </c>
      <c r="G88">
        <v>2066</v>
      </c>
      <c r="H88">
        <v>78971</v>
      </c>
      <c r="I88">
        <f t="shared" si="6"/>
        <v>37.12861683402768</v>
      </c>
    </row>
    <row r="89" spans="1:9" ht="12.75">
      <c r="A89" t="s">
        <v>79</v>
      </c>
      <c r="B89">
        <v>25900</v>
      </c>
      <c r="C89">
        <v>395</v>
      </c>
      <c r="D89">
        <v>40</v>
      </c>
      <c r="E89">
        <v>15</v>
      </c>
      <c r="F89">
        <v>2816</v>
      </c>
      <c r="G89">
        <v>369</v>
      </c>
      <c r="H89">
        <v>29535</v>
      </c>
      <c r="I89">
        <f t="shared" si="6"/>
        <v>36.85661080074488</v>
      </c>
    </row>
    <row r="90" spans="1:9" ht="12.75">
      <c r="A90" t="s">
        <v>80</v>
      </c>
      <c r="B90">
        <v>2505</v>
      </c>
      <c r="C90">
        <v>0</v>
      </c>
      <c r="D90">
        <v>0</v>
      </c>
      <c r="E90">
        <v>0</v>
      </c>
      <c r="F90">
        <v>7</v>
      </c>
      <c r="G90">
        <v>55</v>
      </c>
      <c r="H90">
        <v>2567</v>
      </c>
      <c r="I90">
        <f t="shared" si="6"/>
        <v>35.53486560186989</v>
      </c>
    </row>
    <row r="91" spans="1:9" ht="12.75">
      <c r="A91" t="s">
        <v>81</v>
      </c>
      <c r="B91">
        <v>5448</v>
      </c>
      <c r="C91">
        <v>6</v>
      </c>
      <c r="D91">
        <v>10</v>
      </c>
      <c r="E91">
        <v>4</v>
      </c>
      <c r="F91">
        <v>222</v>
      </c>
      <c r="G91">
        <v>132</v>
      </c>
      <c r="H91">
        <v>5822</v>
      </c>
      <c r="I91">
        <f t="shared" si="6"/>
        <v>37.266231535554795</v>
      </c>
    </row>
    <row r="92" spans="1:9" ht="12.75">
      <c r="A92" t="s">
        <v>82</v>
      </c>
      <c r="B92">
        <v>76</v>
      </c>
      <c r="C92">
        <v>0</v>
      </c>
      <c r="D92">
        <v>0</v>
      </c>
      <c r="E92">
        <v>0</v>
      </c>
      <c r="F92">
        <v>16</v>
      </c>
      <c r="G92">
        <v>0</v>
      </c>
      <c r="H92">
        <v>92</v>
      </c>
      <c r="I92">
        <f t="shared" si="6"/>
        <v>35.91304347826087</v>
      </c>
    </row>
    <row r="93" spans="8:9" ht="12.75">
      <c r="H93">
        <f>SUM(H84:H92)</f>
        <v>168047</v>
      </c>
      <c r="I93">
        <f>SUM(I84:I92)/9</f>
        <v>42.419785320871874</v>
      </c>
    </row>
    <row r="94" spans="16:23" ht="12.75">
      <c r="P94" t="s">
        <v>65</v>
      </c>
      <c r="Q94" t="s">
        <v>182</v>
      </c>
      <c r="R94" t="s">
        <v>183</v>
      </c>
      <c r="S94" t="s">
        <v>186</v>
      </c>
      <c r="V94" t="s">
        <v>199</v>
      </c>
      <c r="W94" t="s">
        <v>198</v>
      </c>
    </row>
    <row r="95" spans="1:23" ht="12.75">
      <c r="A95" t="s">
        <v>84</v>
      </c>
      <c r="R95" t="s">
        <v>184</v>
      </c>
      <c r="S95" t="s">
        <v>185</v>
      </c>
      <c r="T95" t="s">
        <v>136</v>
      </c>
      <c r="U95" t="s">
        <v>197</v>
      </c>
      <c r="V95" t="s">
        <v>93</v>
      </c>
      <c r="W95" t="s">
        <v>188</v>
      </c>
    </row>
    <row r="96" spans="1:23" ht="12.75">
      <c r="A96" t="s">
        <v>202</v>
      </c>
      <c r="L96" t="s">
        <v>205</v>
      </c>
      <c r="P96" t="s">
        <v>58</v>
      </c>
      <c r="Q96">
        <v>1</v>
      </c>
      <c r="R96">
        <v>0.0001</v>
      </c>
      <c r="S96">
        <v>1E-05</v>
      </c>
      <c r="T96">
        <f aca="true" t="shared" si="7" ref="T96:T102">N98*R96/10000/4183/5</f>
        <v>2.5200000000000003E-07</v>
      </c>
      <c r="U96">
        <f>T96*0.5</f>
        <v>1.2600000000000002E-07</v>
      </c>
      <c r="V96">
        <f>T96*5*4183</f>
        <v>0.005270580000000001</v>
      </c>
      <c r="W96">
        <f aca="true" t="shared" si="8" ref="W96:W102">S96*N98/10000</f>
        <v>0.0005270580000000002</v>
      </c>
    </row>
    <row r="97" spans="1:26" ht="12.75">
      <c r="A97" t="s">
        <v>65</v>
      </c>
      <c r="B97" t="s">
        <v>66</v>
      </c>
      <c r="C97" t="s">
        <v>67</v>
      </c>
      <c r="D97" t="s">
        <v>68</v>
      </c>
      <c r="E97" t="s">
        <v>69</v>
      </c>
      <c r="F97" t="s">
        <v>70</v>
      </c>
      <c r="G97" t="s">
        <v>71</v>
      </c>
      <c r="H97" t="s">
        <v>203</v>
      </c>
      <c r="I97" t="s">
        <v>204</v>
      </c>
      <c r="J97" t="s">
        <v>91</v>
      </c>
      <c r="K97" t="s">
        <v>92</v>
      </c>
      <c r="L97" t="s">
        <v>94</v>
      </c>
      <c r="N97" t="s">
        <v>187</v>
      </c>
      <c r="P97" t="s">
        <v>181</v>
      </c>
      <c r="Q97">
        <v>14</v>
      </c>
      <c r="R97">
        <v>0.001</v>
      </c>
      <c r="S97">
        <v>0.00013</v>
      </c>
      <c r="T97">
        <f t="shared" si="7"/>
        <v>2.52E-06</v>
      </c>
      <c r="U97">
        <f aca="true" t="shared" si="9" ref="U97:U102">T97*0.5</f>
        <v>1.26E-06</v>
      </c>
      <c r="V97">
        <f aca="true" t="shared" si="10" ref="V97:V102">T97*5*4183</f>
        <v>0.0527058</v>
      </c>
      <c r="W97">
        <f t="shared" si="8"/>
        <v>0.006851754</v>
      </c>
      <c r="X97" t="s">
        <v>189</v>
      </c>
      <c r="Z97" t="s">
        <v>222</v>
      </c>
    </row>
    <row r="98" spans="1:26" ht="12.75">
      <c r="A98" t="s">
        <v>58</v>
      </c>
      <c r="B98">
        <f aca="true" t="shared" si="11" ref="B98:B104">B75*$B$71</f>
        <v>0</v>
      </c>
      <c r="C98">
        <f aca="true" t="shared" si="12" ref="C98:C104">C75*$C$71</f>
        <v>0</v>
      </c>
      <c r="D98">
        <f aca="true" t="shared" si="13" ref="D98:D104">D75*$D$71</f>
        <v>126</v>
      </c>
      <c r="E98">
        <f aca="true" t="shared" si="14" ref="E98:E104">E75*$E$71</f>
        <v>0</v>
      </c>
      <c r="F98">
        <f aca="true" t="shared" si="15" ref="F98:F104">F75*$F$71</f>
        <v>0</v>
      </c>
      <c r="G98">
        <f aca="true" t="shared" si="16" ref="G98:G104">G75*$G$71</f>
        <v>0</v>
      </c>
      <c r="H98">
        <f>SUM(B98:G98)</f>
        <v>126</v>
      </c>
      <c r="I98">
        <f aca="true" t="shared" si="17" ref="I98:I104">H98*0.2</f>
        <v>25.200000000000003</v>
      </c>
      <c r="J98">
        <f>I98*0.5</f>
        <v>12.600000000000001</v>
      </c>
      <c r="K98">
        <f>I98*5*4183</f>
        <v>527058.0000000001</v>
      </c>
      <c r="L98">
        <f>K98/18100000</f>
        <v>0.029119226519337023</v>
      </c>
      <c r="N98">
        <f aca="true" t="shared" si="18" ref="N98:N104">K98/H75</f>
        <v>527058.0000000001</v>
      </c>
      <c r="P98" t="s">
        <v>60</v>
      </c>
      <c r="Q98">
        <v>16</v>
      </c>
      <c r="R98">
        <v>0.002</v>
      </c>
      <c r="S98">
        <v>0.00014</v>
      </c>
      <c r="T98">
        <f t="shared" si="7"/>
        <v>7.015E-06</v>
      </c>
      <c r="U98">
        <f t="shared" si="9"/>
        <v>3.5075E-06</v>
      </c>
      <c r="V98">
        <f t="shared" si="10"/>
        <v>0.146718725</v>
      </c>
      <c r="W98">
        <f t="shared" si="8"/>
        <v>0.010270310749999999</v>
      </c>
      <c r="X98">
        <f>(W96+W97+W98+W99+W101)*10</f>
        <v>1.913558483475855</v>
      </c>
      <c r="Z98">
        <f>X98/4183/58.5</f>
        <v>7.819842559631291E-06</v>
      </c>
    </row>
    <row r="99" spans="1:24" ht="12.75">
      <c r="A99" t="s">
        <v>59</v>
      </c>
      <c r="B99">
        <f t="shared" si="11"/>
        <v>0</v>
      </c>
      <c r="C99">
        <f t="shared" si="12"/>
        <v>0</v>
      </c>
      <c r="D99">
        <f t="shared" si="13"/>
        <v>1764</v>
      </c>
      <c r="E99">
        <f t="shared" si="14"/>
        <v>0</v>
      </c>
      <c r="F99">
        <f t="shared" si="15"/>
        <v>0</v>
      </c>
      <c r="G99">
        <f t="shared" si="16"/>
        <v>0</v>
      </c>
      <c r="H99">
        <f aca="true" t="shared" si="19" ref="H99:H104">SUM(B99:G99)</f>
        <v>1764</v>
      </c>
      <c r="I99">
        <f t="shared" si="17"/>
        <v>352.8</v>
      </c>
      <c r="J99">
        <f aca="true" t="shared" si="20" ref="J99:J104">I99*0.5</f>
        <v>176.4</v>
      </c>
      <c r="K99">
        <f aca="true" t="shared" si="21" ref="K99:K104">I99*5*4183</f>
        <v>7378812</v>
      </c>
      <c r="L99">
        <f aca="true" t="shared" si="22" ref="L99:L104">K99/18100000</f>
        <v>0.4076691712707182</v>
      </c>
      <c r="N99">
        <f t="shared" si="18"/>
        <v>527058</v>
      </c>
      <c r="P99" t="s">
        <v>61</v>
      </c>
      <c r="Q99">
        <v>126</v>
      </c>
      <c r="R99">
        <v>0.013</v>
      </c>
      <c r="S99">
        <v>0.00081</v>
      </c>
      <c r="T99">
        <f t="shared" si="7"/>
        <v>5.4005714285714285E-05</v>
      </c>
      <c r="U99">
        <f t="shared" si="9"/>
        <v>2.7002857142857142E-05</v>
      </c>
      <c r="V99">
        <f t="shared" si="10"/>
        <v>1.1295295142857142</v>
      </c>
      <c r="W99">
        <f t="shared" si="8"/>
        <v>0.07037837742857143</v>
      </c>
      <c r="X99" t="s">
        <v>190</v>
      </c>
    </row>
    <row r="100" spans="1:26" ht="12.75">
      <c r="A100" t="s">
        <v>60</v>
      </c>
      <c r="B100">
        <f t="shared" si="11"/>
        <v>0</v>
      </c>
      <c r="C100">
        <f t="shared" si="12"/>
        <v>0</v>
      </c>
      <c r="D100">
        <f t="shared" si="13"/>
        <v>1386</v>
      </c>
      <c r="E100">
        <f t="shared" si="14"/>
        <v>0</v>
      </c>
      <c r="F100">
        <f t="shared" si="15"/>
        <v>0</v>
      </c>
      <c r="G100">
        <f t="shared" si="16"/>
        <v>1420</v>
      </c>
      <c r="H100">
        <f t="shared" si="19"/>
        <v>2806</v>
      </c>
      <c r="I100">
        <f t="shared" si="17"/>
        <v>561.2</v>
      </c>
      <c r="J100">
        <f t="shared" si="20"/>
        <v>280.6</v>
      </c>
      <c r="K100">
        <f t="shared" si="21"/>
        <v>11737498</v>
      </c>
      <c r="L100">
        <f t="shared" si="22"/>
        <v>0.6484805524861879</v>
      </c>
      <c r="N100">
        <f t="shared" si="18"/>
        <v>733593.625</v>
      </c>
      <c r="P100" t="s">
        <v>62</v>
      </c>
      <c r="Q100">
        <v>102</v>
      </c>
      <c r="R100">
        <v>0.01</v>
      </c>
      <c r="S100">
        <v>-0.00043</v>
      </c>
      <c r="T100">
        <f t="shared" si="7"/>
        <v>2.595686274509804E-05</v>
      </c>
      <c r="U100">
        <f t="shared" si="9"/>
        <v>1.297843137254902E-05</v>
      </c>
      <c r="V100">
        <f t="shared" si="10"/>
        <v>0.5428877843137255</v>
      </c>
      <c r="W100">
        <f t="shared" si="8"/>
        <v>-0.023344174725490198</v>
      </c>
      <c r="X100">
        <f>(W100+W102)*10</f>
        <v>-0.805889747254902</v>
      </c>
      <c r="Z100">
        <f>X100/4183/58.5</f>
        <v>-3.2933045937050947E-06</v>
      </c>
    </row>
    <row r="101" spans="1:23" ht="12.75">
      <c r="A101" t="s">
        <v>61</v>
      </c>
      <c r="B101">
        <f t="shared" si="11"/>
        <v>1020</v>
      </c>
      <c r="C101">
        <f t="shared" si="12"/>
        <v>0</v>
      </c>
      <c r="D101">
        <f t="shared" si="13"/>
        <v>252</v>
      </c>
      <c r="E101">
        <f t="shared" si="14"/>
        <v>64</v>
      </c>
      <c r="F101">
        <f t="shared" si="15"/>
        <v>128</v>
      </c>
      <c r="G101">
        <f t="shared" si="16"/>
        <v>24708</v>
      </c>
      <c r="H101">
        <f t="shared" si="19"/>
        <v>26172</v>
      </c>
      <c r="I101">
        <f t="shared" si="17"/>
        <v>5234.400000000001</v>
      </c>
      <c r="J101">
        <f t="shared" si="20"/>
        <v>2617.2000000000003</v>
      </c>
      <c r="K101">
        <f t="shared" si="21"/>
        <v>109477476.00000001</v>
      </c>
      <c r="L101">
        <f t="shared" si="22"/>
        <v>6.048479337016575</v>
      </c>
      <c r="N101">
        <f t="shared" si="18"/>
        <v>868868.8571428573</v>
      </c>
      <c r="P101" t="s">
        <v>63</v>
      </c>
      <c r="Q101">
        <v>213</v>
      </c>
      <c r="R101">
        <v>0.022</v>
      </c>
      <c r="S101">
        <v>0.0022</v>
      </c>
      <c r="T101">
        <f t="shared" si="7"/>
        <v>4.940394366197183E-05</v>
      </c>
      <c r="U101">
        <f t="shared" si="9"/>
        <v>2.4701971830985914E-05</v>
      </c>
      <c r="V101">
        <f t="shared" si="10"/>
        <v>1.0332834816901408</v>
      </c>
      <c r="W101">
        <f t="shared" si="8"/>
        <v>0.1033283481690141</v>
      </c>
    </row>
    <row r="102" spans="1:23" ht="12.75">
      <c r="A102" t="s">
        <v>62</v>
      </c>
      <c r="B102">
        <f t="shared" si="11"/>
        <v>1620</v>
      </c>
      <c r="C102">
        <f t="shared" si="12"/>
        <v>0</v>
      </c>
      <c r="D102">
        <f t="shared" si="13"/>
        <v>378</v>
      </c>
      <c r="E102">
        <f t="shared" si="14"/>
        <v>128</v>
      </c>
      <c r="F102">
        <f t="shared" si="15"/>
        <v>320</v>
      </c>
      <c r="G102">
        <f t="shared" si="16"/>
        <v>10792</v>
      </c>
      <c r="H102">
        <f t="shared" si="19"/>
        <v>13238</v>
      </c>
      <c r="I102">
        <f t="shared" si="17"/>
        <v>2647.6000000000004</v>
      </c>
      <c r="J102">
        <f t="shared" si="20"/>
        <v>1323.8000000000002</v>
      </c>
      <c r="K102">
        <f t="shared" si="21"/>
        <v>55374554.00000001</v>
      </c>
      <c r="L102">
        <f t="shared" si="22"/>
        <v>3.0593676243093926</v>
      </c>
      <c r="N102">
        <f t="shared" si="18"/>
        <v>542887.7843137255</v>
      </c>
      <c r="P102" t="s">
        <v>64</v>
      </c>
      <c r="Q102">
        <v>47</v>
      </c>
      <c r="R102">
        <v>0.005</v>
      </c>
      <c r="S102">
        <v>-0.0024</v>
      </c>
      <c r="T102">
        <f t="shared" si="7"/>
        <v>5.702127659574469E-06</v>
      </c>
      <c r="U102">
        <f t="shared" si="9"/>
        <v>2.8510638297872346E-06</v>
      </c>
      <c r="V102">
        <f t="shared" si="10"/>
        <v>0.11926000000000002</v>
      </c>
      <c r="W102">
        <f t="shared" si="8"/>
        <v>-0.0572448</v>
      </c>
    </row>
    <row r="103" spans="1:14" ht="12.75">
      <c r="A103" t="s">
        <v>63</v>
      </c>
      <c r="B103">
        <f t="shared" si="11"/>
        <v>4320</v>
      </c>
      <c r="C103">
        <f t="shared" si="12"/>
        <v>0</v>
      </c>
      <c r="D103">
        <f t="shared" si="13"/>
        <v>0</v>
      </c>
      <c r="E103">
        <f t="shared" si="14"/>
        <v>0</v>
      </c>
      <c r="F103">
        <f t="shared" si="15"/>
        <v>0</v>
      </c>
      <c r="G103">
        <f t="shared" si="16"/>
        <v>19596</v>
      </c>
      <c r="H103">
        <f t="shared" si="19"/>
        <v>23916</v>
      </c>
      <c r="I103">
        <f t="shared" si="17"/>
        <v>4783.2</v>
      </c>
      <c r="J103">
        <f t="shared" si="20"/>
        <v>2391.6</v>
      </c>
      <c r="K103">
        <f t="shared" si="21"/>
        <v>100040628</v>
      </c>
      <c r="L103">
        <f t="shared" si="22"/>
        <v>5.527106519337017</v>
      </c>
      <c r="N103">
        <f t="shared" si="18"/>
        <v>469674.3098591549</v>
      </c>
    </row>
    <row r="104" spans="1:14" ht="12.75">
      <c r="A104" t="s">
        <v>64</v>
      </c>
      <c r="B104">
        <f t="shared" si="11"/>
        <v>1260</v>
      </c>
      <c r="C104">
        <f t="shared" si="12"/>
        <v>0</v>
      </c>
      <c r="D104">
        <f t="shared" si="13"/>
        <v>0</v>
      </c>
      <c r="E104">
        <f t="shared" si="14"/>
        <v>0</v>
      </c>
      <c r="F104">
        <f t="shared" si="15"/>
        <v>0</v>
      </c>
      <c r="G104">
        <f t="shared" si="16"/>
        <v>1420</v>
      </c>
      <c r="H104">
        <f t="shared" si="19"/>
        <v>2680</v>
      </c>
      <c r="I104">
        <f t="shared" si="17"/>
        <v>536</v>
      </c>
      <c r="J104">
        <f t="shared" si="20"/>
        <v>268</v>
      </c>
      <c r="K104">
        <f t="shared" si="21"/>
        <v>11210440</v>
      </c>
      <c r="L104">
        <f t="shared" si="22"/>
        <v>0.6193613259668508</v>
      </c>
      <c r="N104">
        <f t="shared" si="18"/>
        <v>238520</v>
      </c>
    </row>
    <row r="105" spans="1:23" ht="12.75">
      <c r="A105" t="s">
        <v>83</v>
      </c>
      <c r="J105">
        <f>L105/(5*4183)*0.5</f>
        <v>5.580268350434096E-05</v>
      </c>
      <c r="L105">
        <f>SUM(L98:L104)/7</f>
        <v>2.3342262509865823</v>
      </c>
      <c r="M105" t="s">
        <v>95</v>
      </c>
      <c r="P105" t="s">
        <v>74</v>
      </c>
      <c r="Q105">
        <v>42</v>
      </c>
      <c r="R105">
        <v>0.004</v>
      </c>
      <c r="S105">
        <v>0.0004</v>
      </c>
      <c r="T105">
        <f aca="true" t="shared" si="23" ref="T105:T113">N107*R105/10000/4183/5</f>
        <v>8.068571428571429E-06</v>
      </c>
      <c r="U105">
        <f aca="true" t="shared" si="24" ref="U105:U113">T105*0.5</f>
        <v>4.0342857142857145E-06</v>
      </c>
      <c r="V105">
        <f aca="true" t="shared" si="25" ref="V105:V113">T105*5*4183</f>
        <v>0.16875417142857144</v>
      </c>
      <c r="W105">
        <f aca="true" t="shared" si="26" ref="W105:W113">S105*N107/10000</f>
        <v>0.016875417142857146</v>
      </c>
    </row>
    <row r="106" spans="1:27" ht="12.75">
      <c r="A106" t="s">
        <v>65</v>
      </c>
      <c r="B106" t="s">
        <v>66</v>
      </c>
      <c r="C106" t="s">
        <v>67</v>
      </c>
      <c r="D106" t="s">
        <v>68</v>
      </c>
      <c r="E106" t="s">
        <v>69</v>
      </c>
      <c r="F106" t="s">
        <v>70</v>
      </c>
      <c r="G106" t="s">
        <v>71</v>
      </c>
      <c r="H106" t="s">
        <v>72</v>
      </c>
      <c r="I106" t="s">
        <v>209</v>
      </c>
      <c r="J106">
        <f>L106/(5*4183)*0.5</f>
        <v>3.348161010260457E-05</v>
      </c>
      <c r="L106">
        <f>L105*0.6</f>
        <v>1.4005357505919493</v>
      </c>
      <c r="M106" t="s">
        <v>206</v>
      </c>
      <c r="P106" t="s">
        <v>75</v>
      </c>
      <c r="Q106">
        <v>787</v>
      </c>
      <c r="R106">
        <v>0.08</v>
      </c>
      <c r="S106">
        <v>0.0076</v>
      </c>
      <c r="T106">
        <f t="shared" si="23"/>
        <v>5.5233545108005085E-05</v>
      </c>
      <c r="U106">
        <f t="shared" si="24"/>
        <v>2.7616772554002543E-05</v>
      </c>
      <c r="V106">
        <f t="shared" si="25"/>
        <v>1.1552095959339264</v>
      </c>
      <c r="W106">
        <f t="shared" si="26"/>
        <v>0.109744911613723</v>
      </c>
      <c r="X106" t="s">
        <v>191</v>
      </c>
      <c r="Y106" t="s">
        <v>193</v>
      </c>
      <c r="Z106" t="s">
        <v>223</v>
      </c>
      <c r="AA106" t="s">
        <v>224</v>
      </c>
    </row>
    <row r="107" spans="1:27" ht="12.75">
      <c r="A107" t="s">
        <v>74</v>
      </c>
      <c r="B107">
        <f aca="true" t="shared" si="27" ref="B107:B115">B84*$B$71</f>
        <v>330</v>
      </c>
      <c r="C107">
        <f aca="true" t="shared" si="28" ref="C107:C115">C84*$C$71</f>
        <v>0</v>
      </c>
      <c r="D107">
        <f aca="true" t="shared" si="29" ref="D107:D115">D84*$D$71</f>
        <v>3906</v>
      </c>
      <c r="E107">
        <f aca="true" t="shared" si="30" ref="E107:E115">E84*$E$71</f>
        <v>0</v>
      </c>
      <c r="F107">
        <f aca="true" t="shared" si="31" ref="F107:F115">F84*$F$71</f>
        <v>0</v>
      </c>
      <c r="G107">
        <f aca="true" t="shared" si="32" ref="G107:G115">G84*$G$71</f>
        <v>0</v>
      </c>
      <c r="H107">
        <f aca="true" t="shared" si="33" ref="H107:H115">SUM(B107:G107)</f>
        <v>4236</v>
      </c>
      <c r="I107">
        <f aca="true" t="shared" si="34" ref="I107:I115">H107*0.2</f>
        <v>847.2</v>
      </c>
      <c r="J107">
        <f aca="true" t="shared" si="35" ref="J107:J115">I107*0.5</f>
        <v>423.6</v>
      </c>
      <c r="K107">
        <f aca="true" t="shared" si="36" ref="K107:K115">I107*5*4183</f>
        <v>17719188</v>
      </c>
      <c r="L107">
        <f aca="true" t="shared" si="37" ref="L107:L115">K107/18100000</f>
        <v>0.9789606629834254</v>
      </c>
      <c r="N107">
        <f aca="true" t="shared" si="38" ref="N107:N115">K107/H84</f>
        <v>421885.4285714286</v>
      </c>
      <c r="P107" t="s">
        <v>76</v>
      </c>
      <c r="Q107">
        <v>2531</v>
      </c>
      <c r="R107">
        <v>32.56</v>
      </c>
      <c r="S107">
        <v>0.248</v>
      </c>
      <c r="T107">
        <f t="shared" si="23"/>
        <v>0.020701023632125788</v>
      </c>
      <c r="U107">
        <f t="shared" si="24"/>
        <v>0.010350511816062894</v>
      </c>
      <c r="V107">
        <f t="shared" si="25"/>
        <v>432.96190926591083</v>
      </c>
      <c r="W107">
        <f t="shared" si="26"/>
        <v>3.297744272049935</v>
      </c>
      <c r="X107">
        <f>(W105+W106+W107+W109+W112)*10</f>
        <v>123.87593763690695</v>
      </c>
      <c r="Y107">
        <f>X107+X98+X100</f>
        <v>124.98360637312791</v>
      </c>
      <c r="Z107">
        <f>Y107/4183/58.5</f>
        <v>0.0005107511125541841</v>
      </c>
      <c r="AA107">
        <f>Z107/147</f>
        <v>3.4744973643141778E-06</v>
      </c>
    </row>
    <row r="108" spans="1:24" ht="12.75">
      <c r="A108" t="s">
        <v>75</v>
      </c>
      <c r="B108">
        <f t="shared" si="27"/>
        <v>22440</v>
      </c>
      <c r="C108">
        <f t="shared" si="28"/>
        <v>0</v>
      </c>
      <c r="D108">
        <f t="shared" si="29"/>
        <v>4536</v>
      </c>
      <c r="E108">
        <f t="shared" si="30"/>
        <v>0</v>
      </c>
      <c r="F108">
        <f t="shared" si="31"/>
        <v>192</v>
      </c>
      <c r="G108">
        <f t="shared" si="32"/>
        <v>0</v>
      </c>
      <c r="H108">
        <f t="shared" si="33"/>
        <v>27168</v>
      </c>
      <c r="I108">
        <f t="shared" si="34"/>
        <v>5433.6</v>
      </c>
      <c r="J108">
        <f t="shared" si="35"/>
        <v>2716.8</v>
      </c>
      <c r="K108">
        <f t="shared" si="36"/>
        <v>113643744</v>
      </c>
      <c r="L108">
        <f t="shared" si="37"/>
        <v>6.278659889502762</v>
      </c>
      <c r="N108">
        <f t="shared" si="38"/>
        <v>144401.1994917408</v>
      </c>
      <c r="P108" t="s">
        <v>77</v>
      </c>
      <c r="Q108">
        <v>24918</v>
      </c>
      <c r="R108">
        <v>2.56</v>
      </c>
      <c r="S108">
        <v>0</v>
      </c>
      <c r="T108">
        <f t="shared" si="23"/>
        <v>0.0016338713540412556</v>
      </c>
      <c r="U108">
        <f t="shared" si="24"/>
        <v>0.0008169356770206278</v>
      </c>
      <c r="V108">
        <f t="shared" si="25"/>
        <v>34.17241936977286</v>
      </c>
      <c r="W108">
        <f t="shared" si="26"/>
        <v>0</v>
      </c>
      <c r="X108" t="s">
        <v>192</v>
      </c>
    </row>
    <row r="109" spans="1:27" ht="12.75">
      <c r="A109" t="s">
        <v>76</v>
      </c>
      <c r="B109">
        <f t="shared" si="27"/>
        <v>722790</v>
      </c>
      <c r="C109">
        <f t="shared" si="28"/>
        <v>6396</v>
      </c>
      <c r="D109">
        <f t="shared" si="29"/>
        <v>8946</v>
      </c>
      <c r="E109">
        <f t="shared" si="30"/>
        <v>640</v>
      </c>
      <c r="F109">
        <f t="shared" si="31"/>
        <v>64768</v>
      </c>
      <c r="G109">
        <f t="shared" si="32"/>
        <v>1136</v>
      </c>
      <c r="H109">
        <f t="shared" si="33"/>
        <v>804676</v>
      </c>
      <c r="I109">
        <f t="shared" si="34"/>
        <v>160935.2</v>
      </c>
      <c r="J109">
        <f t="shared" si="35"/>
        <v>80467.6</v>
      </c>
      <c r="K109">
        <f t="shared" si="36"/>
        <v>3365959708</v>
      </c>
      <c r="L109">
        <f t="shared" si="37"/>
        <v>185.96462475138122</v>
      </c>
      <c r="M109" t="s">
        <v>227</v>
      </c>
      <c r="N109">
        <f t="shared" si="38"/>
        <v>132973.5593568522</v>
      </c>
      <c r="P109" t="s">
        <v>78</v>
      </c>
      <c r="Q109">
        <v>78971</v>
      </c>
      <c r="R109">
        <v>8</v>
      </c>
      <c r="S109">
        <v>0.544</v>
      </c>
      <c r="T109">
        <f t="shared" si="23"/>
        <v>0.005940578693444428</v>
      </c>
      <c r="U109">
        <f t="shared" si="24"/>
        <v>0.002970289346722214</v>
      </c>
      <c r="V109">
        <f t="shared" si="25"/>
        <v>124.2472033733902</v>
      </c>
      <c r="W109">
        <f t="shared" si="26"/>
        <v>8.448809829390536</v>
      </c>
      <c r="X109">
        <f>(W110+W111+W113)*10</f>
        <v>-126.39299063412538</v>
      </c>
      <c r="Z109">
        <f>X109/4183/58.5</f>
        <v>-0.0005165106245430748</v>
      </c>
      <c r="AA109">
        <f>Z109/147</f>
        <v>-3.5136777179801004E-06</v>
      </c>
    </row>
    <row r="110" spans="1:23" ht="12.75">
      <c r="A110" t="s">
        <v>77</v>
      </c>
      <c r="B110">
        <f t="shared" si="27"/>
        <v>708000</v>
      </c>
      <c r="C110">
        <f t="shared" si="28"/>
        <v>3640</v>
      </c>
      <c r="D110">
        <f t="shared" si="29"/>
        <v>2520</v>
      </c>
      <c r="E110">
        <f t="shared" si="30"/>
        <v>704</v>
      </c>
      <c r="F110">
        <f t="shared" si="31"/>
        <v>77184</v>
      </c>
      <c r="G110">
        <f t="shared" si="32"/>
        <v>3124</v>
      </c>
      <c r="H110">
        <f t="shared" si="33"/>
        <v>795172</v>
      </c>
      <c r="I110">
        <f t="shared" si="34"/>
        <v>159034.40000000002</v>
      </c>
      <c r="J110">
        <f t="shared" si="35"/>
        <v>79517.20000000001</v>
      </c>
      <c r="K110">
        <f t="shared" si="36"/>
        <v>3326204476.0000005</v>
      </c>
      <c r="L110">
        <f t="shared" si="37"/>
        <v>183.76820309392266</v>
      </c>
      <c r="M110">
        <f>(J105+J117)/2</f>
        <v>0.0011261300710339384</v>
      </c>
      <c r="N110">
        <f t="shared" si="38"/>
        <v>133486.01316317523</v>
      </c>
      <c r="P110" t="s">
        <v>79</v>
      </c>
      <c r="Q110">
        <v>29535</v>
      </c>
      <c r="R110">
        <v>2.99</v>
      </c>
      <c r="S110">
        <v>-0.5</v>
      </c>
      <c r="T110">
        <f t="shared" si="23"/>
        <v>0.0022040253258845443</v>
      </c>
      <c r="U110">
        <f t="shared" si="24"/>
        <v>0.0011020126629422721</v>
      </c>
      <c r="V110">
        <f t="shared" si="25"/>
        <v>46.09718969087524</v>
      </c>
      <c r="W110">
        <f t="shared" si="26"/>
        <v>-7.708560148975791</v>
      </c>
    </row>
    <row r="111" spans="1:23" ht="12.75">
      <c r="A111" t="s">
        <v>78</v>
      </c>
      <c r="B111">
        <f t="shared" si="27"/>
        <v>2273460</v>
      </c>
      <c r="C111">
        <f t="shared" si="28"/>
        <v>2652</v>
      </c>
      <c r="D111">
        <f t="shared" si="29"/>
        <v>1260</v>
      </c>
      <c r="E111">
        <f t="shared" si="30"/>
        <v>8576</v>
      </c>
      <c r="F111">
        <f t="shared" si="31"/>
        <v>59392</v>
      </c>
      <c r="G111">
        <f t="shared" si="32"/>
        <v>586744</v>
      </c>
      <c r="H111">
        <f t="shared" si="33"/>
        <v>2932084</v>
      </c>
      <c r="I111">
        <f t="shared" si="34"/>
        <v>586416.8</v>
      </c>
      <c r="J111">
        <f t="shared" si="35"/>
        <v>293208.4</v>
      </c>
      <c r="K111">
        <f t="shared" si="36"/>
        <v>12264907372</v>
      </c>
      <c r="L111">
        <f t="shared" si="37"/>
        <v>677.6191918232045</v>
      </c>
      <c r="N111">
        <f t="shared" si="38"/>
        <v>155309.00421673778</v>
      </c>
      <c r="P111" t="s">
        <v>80</v>
      </c>
      <c r="Q111">
        <v>2567</v>
      </c>
      <c r="R111">
        <v>0.26</v>
      </c>
      <c r="S111">
        <v>-0.273</v>
      </c>
      <c r="T111">
        <f t="shared" si="23"/>
        <v>0.00018478130112972344</v>
      </c>
      <c r="U111">
        <f t="shared" si="24"/>
        <v>9.239065056486172E-05</v>
      </c>
      <c r="V111">
        <f t="shared" si="25"/>
        <v>3.864700913128166</v>
      </c>
      <c r="W111">
        <f t="shared" si="26"/>
        <v>-4.057935958784574</v>
      </c>
    </row>
    <row r="112" spans="1:23" ht="12.75">
      <c r="A112" t="s">
        <v>79</v>
      </c>
      <c r="B112">
        <f t="shared" si="27"/>
        <v>777000</v>
      </c>
      <c r="C112">
        <f t="shared" si="28"/>
        <v>20540</v>
      </c>
      <c r="D112">
        <f t="shared" si="29"/>
        <v>5040</v>
      </c>
      <c r="E112">
        <f t="shared" si="30"/>
        <v>960</v>
      </c>
      <c r="F112">
        <f t="shared" si="31"/>
        <v>180224</v>
      </c>
      <c r="G112">
        <f t="shared" si="32"/>
        <v>104796</v>
      </c>
      <c r="H112">
        <f t="shared" si="33"/>
        <v>1088560</v>
      </c>
      <c r="I112">
        <f t="shared" si="34"/>
        <v>217712</v>
      </c>
      <c r="J112">
        <f t="shared" si="35"/>
        <v>108856</v>
      </c>
      <c r="K112">
        <f t="shared" si="36"/>
        <v>4553446480</v>
      </c>
      <c r="L112">
        <f t="shared" si="37"/>
        <v>251.57162872928177</v>
      </c>
      <c r="N112">
        <f t="shared" si="38"/>
        <v>154171.20297951583</v>
      </c>
      <c r="P112" t="s">
        <v>81</v>
      </c>
      <c r="Q112">
        <v>5822</v>
      </c>
      <c r="R112">
        <v>0.59</v>
      </c>
      <c r="S112">
        <v>0.033</v>
      </c>
      <c r="T112">
        <f t="shared" si="23"/>
        <v>0.0004397415321195465</v>
      </c>
      <c r="U112">
        <f t="shared" si="24"/>
        <v>0.00021987076605977325</v>
      </c>
      <c r="V112">
        <f t="shared" si="25"/>
        <v>9.197194144280315</v>
      </c>
      <c r="W112">
        <f t="shared" si="26"/>
        <v>0.5144193334936448</v>
      </c>
    </row>
    <row r="113" spans="1:23" ht="12.75">
      <c r="A113" t="s">
        <v>80</v>
      </c>
      <c r="B113">
        <f t="shared" si="27"/>
        <v>75150</v>
      </c>
      <c r="C113">
        <f t="shared" si="28"/>
        <v>0</v>
      </c>
      <c r="D113">
        <f t="shared" si="29"/>
        <v>0</v>
      </c>
      <c r="E113">
        <f t="shared" si="30"/>
        <v>0</v>
      </c>
      <c r="F113">
        <f t="shared" si="31"/>
        <v>448</v>
      </c>
      <c r="G113">
        <f t="shared" si="32"/>
        <v>15620</v>
      </c>
      <c r="H113">
        <f t="shared" si="33"/>
        <v>91218</v>
      </c>
      <c r="I113">
        <f t="shared" si="34"/>
        <v>18243.600000000002</v>
      </c>
      <c r="J113">
        <f t="shared" si="35"/>
        <v>9121.800000000001</v>
      </c>
      <c r="K113">
        <f t="shared" si="36"/>
        <v>381564894.00000006</v>
      </c>
      <c r="L113">
        <f t="shared" si="37"/>
        <v>21.08093337016575</v>
      </c>
      <c r="N113">
        <f t="shared" si="38"/>
        <v>148642.34281262176</v>
      </c>
      <c r="P113" t="s">
        <v>82</v>
      </c>
      <c r="Q113">
        <v>92</v>
      </c>
      <c r="R113">
        <v>0.009</v>
      </c>
      <c r="S113">
        <v>-0.0581</v>
      </c>
      <c r="T113">
        <f t="shared" si="23"/>
        <v>6.464347826086957E-06</v>
      </c>
      <c r="U113">
        <f t="shared" si="24"/>
        <v>3.2321739130434785E-06</v>
      </c>
      <c r="V113">
        <f t="shared" si="25"/>
        <v>0.13520183478260872</v>
      </c>
      <c r="W113">
        <f t="shared" si="26"/>
        <v>-0.872802955652174</v>
      </c>
    </row>
    <row r="114" spans="1:22" ht="12.75">
      <c r="A114" t="s">
        <v>81</v>
      </c>
      <c r="B114">
        <f t="shared" si="27"/>
        <v>163440</v>
      </c>
      <c r="C114">
        <f t="shared" si="28"/>
        <v>312</v>
      </c>
      <c r="D114">
        <f t="shared" si="29"/>
        <v>1260</v>
      </c>
      <c r="E114">
        <f t="shared" si="30"/>
        <v>256</v>
      </c>
      <c r="F114">
        <f t="shared" si="31"/>
        <v>14208</v>
      </c>
      <c r="G114">
        <f t="shared" si="32"/>
        <v>37488</v>
      </c>
      <c r="H114">
        <f t="shared" si="33"/>
        <v>216964</v>
      </c>
      <c r="I114">
        <f t="shared" si="34"/>
        <v>43392.8</v>
      </c>
      <c r="J114">
        <f t="shared" si="35"/>
        <v>21696.4</v>
      </c>
      <c r="K114">
        <f t="shared" si="36"/>
        <v>907560412</v>
      </c>
      <c r="L114">
        <f t="shared" si="37"/>
        <v>50.14145922651934</v>
      </c>
      <c r="N114">
        <f t="shared" si="38"/>
        <v>155884.64651322569</v>
      </c>
      <c r="V114">
        <f>SUM(V105:V113)/9</f>
        <v>72.44442026216696</v>
      </c>
    </row>
    <row r="115" spans="1:14" ht="12.75">
      <c r="A115" t="s">
        <v>82</v>
      </c>
      <c r="B115">
        <f t="shared" si="27"/>
        <v>2280</v>
      </c>
      <c r="C115">
        <f t="shared" si="28"/>
        <v>0</v>
      </c>
      <c r="D115">
        <f t="shared" si="29"/>
        <v>0</v>
      </c>
      <c r="E115">
        <f t="shared" si="30"/>
        <v>0</v>
      </c>
      <c r="F115">
        <f t="shared" si="31"/>
        <v>1024</v>
      </c>
      <c r="G115">
        <f t="shared" si="32"/>
        <v>0</v>
      </c>
      <c r="H115">
        <f t="shared" si="33"/>
        <v>3304</v>
      </c>
      <c r="I115">
        <f t="shared" si="34"/>
        <v>660.8000000000001</v>
      </c>
      <c r="J115">
        <f t="shared" si="35"/>
        <v>330.40000000000003</v>
      </c>
      <c r="K115">
        <f t="shared" si="36"/>
        <v>13820632.000000002</v>
      </c>
      <c r="L115">
        <f t="shared" si="37"/>
        <v>0.7635708287292818</v>
      </c>
      <c r="N115">
        <f t="shared" si="38"/>
        <v>150224.26086956525</v>
      </c>
    </row>
    <row r="116" spans="10:13" ht="12.75">
      <c r="J116">
        <f>L116/(5*4183)*0.5</f>
        <v>0.0036607624309392267</v>
      </c>
      <c r="L116">
        <f>SUM(L107:L115)/9</f>
        <v>153.12969248618785</v>
      </c>
      <c r="M116" t="s">
        <v>96</v>
      </c>
    </row>
    <row r="117" spans="9:13" ht="12.75">
      <c r="I117" t="s">
        <v>208</v>
      </c>
      <c r="J117">
        <f>L117/(5*4183)*0.5</f>
        <v>0.002196457458563536</v>
      </c>
      <c r="L117">
        <f>L116*0.6</f>
        <v>91.87781549171271</v>
      </c>
      <c r="M117" t="s">
        <v>207</v>
      </c>
    </row>
    <row r="120" spans="15:22" ht="12.75">
      <c r="O120" t="s">
        <v>136</v>
      </c>
      <c r="P120" t="s">
        <v>137</v>
      </c>
      <c r="Q120" t="s">
        <v>93</v>
      </c>
      <c r="R120" t="s">
        <v>175</v>
      </c>
      <c r="S120" t="s">
        <v>139</v>
      </c>
      <c r="V120" t="s">
        <v>179</v>
      </c>
    </row>
    <row r="121" spans="10:22" ht="12.75">
      <c r="J121">
        <v>558</v>
      </c>
      <c r="K121">
        <v>908</v>
      </c>
      <c r="O121">
        <f aca="true" t="shared" si="39" ref="O121:O132">N123*0.2</f>
        <v>29.78259864935065</v>
      </c>
      <c r="P121">
        <f aca="true" t="shared" si="40" ref="P121:P132">O121*0.5</f>
        <v>14.891299324675325</v>
      </c>
      <c r="Q121">
        <f aca="true" t="shared" si="41" ref="Q121:Q132">O121*5*4183</f>
        <v>622903.0507511689</v>
      </c>
      <c r="R121" t="s">
        <v>111</v>
      </c>
      <c r="S121" t="s">
        <v>140</v>
      </c>
      <c r="T121" t="s">
        <v>176</v>
      </c>
      <c r="V121" t="s">
        <v>178</v>
      </c>
    </row>
    <row r="122" spans="10:23" ht="12.75">
      <c r="J122" t="s">
        <v>131</v>
      </c>
      <c r="K122" t="s">
        <v>118</v>
      </c>
      <c r="L122" t="s">
        <v>132</v>
      </c>
      <c r="M122" t="s">
        <v>134</v>
      </c>
      <c r="N122" t="s">
        <v>135</v>
      </c>
      <c r="O122">
        <f t="shared" si="39"/>
        <v>33.16572</v>
      </c>
      <c r="P122">
        <f t="shared" si="40"/>
        <v>16.58286</v>
      </c>
      <c r="Q122">
        <f t="shared" si="41"/>
        <v>693661.0338</v>
      </c>
      <c r="R122">
        <v>-0.10272</v>
      </c>
      <c r="S122">
        <f aca="true" t="shared" si="42" ref="S122:S133">R122*M123</f>
        <v>-57.70462753246753</v>
      </c>
      <c r="T122">
        <f>S122*0.2*5*4183/30</f>
        <v>-8045.948565610391</v>
      </c>
      <c r="V122">
        <f>T133*31+T132*28+T129*30+T128*31+T125*31+T124*30</f>
        <v>2586533.928312476</v>
      </c>
      <c r="W122" t="s">
        <v>179</v>
      </c>
    </row>
    <row r="123" spans="1:23" ht="12.75">
      <c r="A123" t="s">
        <v>112</v>
      </c>
      <c r="B123" t="s">
        <v>133</v>
      </c>
      <c r="C123">
        <v>454</v>
      </c>
      <c r="D123">
        <v>454</v>
      </c>
      <c r="E123">
        <v>738</v>
      </c>
      <c r="F123">
        <v>724</v>
      </c>
      <c r="G123">
        <v>1816</v>
      </c>
      <c r="H123">
        <v>340</v>
      </c>
      <c r="I123">
        <v>170</v>
      </c>
      <c r="J123">
        <v>55</v>
      </c>
      <c r="L123">
        <f aca="true" t="shared" si="43" ref="L123:L134">SUM(C125:K125)</f>
        <v>385</v>
      </c>
      <c r="M123">
        <f>C125/L123*C123+D125/L123*D123+F125/L123*F123+J123/L123*J121</f>
        <v>561.7662337662338</v>
      </c>
      <c r="N123">
        <f aca="true" t="shared" si="44" ref="N123:N134">M123*B125</f>
        <v>148.91299324675325</v>
      </c>
      <c r="O123">
        <f t="shared" si="39"/>
        <v>5.857430769230769</v>
      </c>
      <c r="P123">
        <f t="shared" si="40"/>
        <v>2.9287153846153844</v>
      </c>
      <c r="Q123">
        <f t="shared" si="41"/>
        <v>122508.16453846153</v>
      </c>
      <c r="R123">
        <v>-0.05488</v>
      </c>
      <c r="S123">
        <f t="shared" si="42"/>
        <v>-56.05243636363636</v>
      </c>
      <c r="T123">
        <f>S123*0.2*5*4183/31</f>
        <v>-7563.4626228739</v>
      </c>
      <c r="W123" t="s">
        <v>177</v>
      </c>
    </row>
    <row r="124" spans="1:23" ht="12.75">
      <c r="A124" t="s">
        <v>109</v>
      </c>
      <c r="B124" t="s">
        <v>110</v>
      </c>
      <c r="C124" t="s">
        <v>121</v>
      </c>
      <c r="D124" t="s">
        <v>114</v>
      </c>
      <c r="E124" t="s">
        <v>123</v>
      </c>
      <c r="F124" t="s">
        <v>119</v>
      </c>
      <c r="G124" t="s">
        <v>116</v>
      </c>
      <c r="H124" t="s">
        <v>117</v>
      </c>
      <c r="I124" t="s">
        <v>115</v>
      </c>
      <c r="J124">
        <v>65</v>
      </c>
      <c r="L124">
        <f t="shared" si="43"/>
        <v>110</v>
      </c>
      <c r="M124">
        <f>(C126*C123+E126*E123+F126*F123+J124*J121)/L124</f>
        <v>1021.3636363636364</v>
      </c>
      <c r="N124">
        <f t="shared" si="44"/>
        <v>165.8286</v>
      </c>
      <c r="O124">
        <f t="shared" si="39"/>
        <v>9.249713043478263</v>
      </c>
      <c r="P124">
        <f t="shared" si="40"/>
        <v>4.624856521739131</v>
      </c>
      <c r="Q124">
        <f t="shared" si="41"/>
        <v>193457.7483043479</v>
      </c>
      <c r="R124">
        <v>0.07208</v>
      </c>
      <c r="S124">
        <f t="shared" si="42"/>
        <v>19.65566153846154</v>
      </c>
      <c r="T124">
        <f>S124*0.2*5*4183/30</f>
        <v>2740.6544071794874</v>
      </c>
      <c r="V124" t="s">
        <v>225</v>
      </c>
      <c r="W124">
        <f>T122*30+T123*31+T126*31+T127*30+T130*31+T131*31</f>
        <v>-1031085.9270583328</v>
      </c>
    </row>
    <row r="125" spans="1:22" ht="12.75">
      <c r="A125" t="s">
        <v>97</v>
      </c>
      <c r="B125">
        <v>0.26508</v>
      </c>
      <c r="C125">
        <v>45</v>
      </c>
      <c r="D125">
        <v>300</v>
      </c>
      <c r="F125">
        <v>40</v>
      </c>
      <c r="L125">
        <f t="shared" si="43"/>
        <v>130</v>
      </c>
      <c r="M125">
        <f>(E127*E123+H127*H123+I127*I123)/L125</f>
        <v>272.6923076923077</v>
      </c>
      <c r="N125">
        <f t="shared" si="44"/>
        <v>29.287153846153842</v>
      </c>
      <c r="O125">
        <f t="shared" si="39"/>
        <v>28.483346327944574</v>
      </c>
      <c r="P125">
        <f t="shared" si="40"/>
        <v>14.241673163972287</v>
      </c>
      <c r="Q125">
        <f t="shared" si="41"/>
        <v>595729.1884489607</v>
      </c>
      <c r="R125">
        <v>0.13436</v>
      </c>
      <c r="S125">
        <f t="shared" si="42"/>
        <v>34.61814608695653</v>
      </c>
      <c r="T125">
        <f>S125*0.2*5*4183/31</f>
        <v>4671.216292959328</v>
      </c>
      <c r="V125">
        <f>V122/4183/5*0.5/365</f>
        <v>0.1694093790137167</v>
      </c>
    </row>
    <row r="126" spans="1:23" ht="12.75">
      <c r="A126" t="s">
        <v>98</v>
      </c>
      <c r="B126">
        <v>0.16236</v>
      </c>
      <c r="C126">
        <v>15</v>
      </c>
      <c r="E126">
        <v>35</v>
      </c>
      <c r="F126">
        <v>60</v>
      </c>
      <c r="L126">
        <f t="shared" si="43"/>
        <v>230</v>
      </c>
      <c r="M126">
        <f>(C128*C123+E128*E123+H128*H123+I128*I123)/L126</f>
        <v>257.6521739130435</v>
      </c>
      <c r="N126">
        <f t="shared" si="44"/>
        <v>46.24856521739131</v>
      </c>
      <c r="O126">
        <f t="shared" si="39"/>
        <v>25.982528842105264</v>
      </c>
      <c r="P126">
        <f t="shared" si="40"/>
        <v>12.991264421052632</v>
      </c>
      <c r="Q126">
        <f t="shared" si="41"/>
        <v>543424.5907326315</v>
      </c>
      <c r="R126">
        <v>-0.05404</v>
      </c>
      <c r="S126">
        <f t="shared" si="42"/>
        <v>-24.516437875288684</v>
      </c>
      <c r="T126">
        <f>S126*0.2*5*4183/31</f>
        <v>-3308.1374074945993</v>
      </c>
      <c r="W126" t="s">
        <v>226</v>
      </c>
    </row>
    <row r="127" spans="1:23" ht="12.75">
      <c r="A127" t="s">
        <v>99</v>
      </c>
      <c r="B127">
        <v>0.1074</v>
      </c>
      <c r="E127">
        <v>25</v>
      </c>
      <c r="H127">
        <v>30</v>
      </c>
      <c r="I127">
        <v>40</v>
      </c>
      <c r="J127">
        <v>35</v>
      </c>
      <c r="L127">
        <f t="shared" si="43"/>
        <v>433</v>
      </c>
      <c r="M127">
        <f>(C129*C123+G129*G123+H129*H123+I129*I123+J127*J121)/L127</f>
        <v>453.67205542725173</v>
      </c>
      <c r="N127">
        <f t="shared" si="44"/>
        <v>142.41673163972285</v>
      </c>
      <c r="O127">
        <f t="shared" si="39"/>
        <v>13.501016338028172</v>
      </c>
      <c r="P127">
        <f t="shared" si="40"/>
        <v>6.750508169014086</v>
      </c>
      <c r="Q127">
        <f t="shared" si="41"/>
        <v>282373.7567098592</v>
      </c>
      <c r="R127">
        <v>-0.11428</v>
      </c>
      <c r="S127">
        <f t="shared" si="42"/>
        <v>-57.12797052631579</v>
      </c>
      <c r="T127">
        <f>S127*0.2*5*4183/30</f>
        <v>-7965.543357052632</v>
      </c>
      <c r="W127">
        <f>W124/4183/5*0.5/365</f>
        <v>-0.0675327026259801</v>
      </c>
    </row>
    <row r="128" spans="1:20" ht="12.75">
      <c r="A128" t="s">
        <v>100</v>
      </c>
      <c r="B128">
        <v>0.1795</v>
      </c>
      <c r="C128">
        <v>15</v>
      </c>
      <c r="E128">
        <v>25</v>
      </c>
      <c r="H128">
        <v>40</v>
      </c>
      <c r="I128">
        <v>120</v>
      </c>
      <c r="J128">
        <v>30</v>
      </c>
      <c r="L128">
        <f t="shared" si="43"/>
        <v>190</v>
      </c>
      <c r="M128">
        <f>(G130*G123+H130*H123+J128*J121)/L128</f>
        <v>499.89473684210526</v>
      </c>
      <c r="N128">
        <f t="shared" si="44"/>
        <v>129.9126442105263</v>
      </c>
      <c r="O128">
        <f t="shared" si="39"/>
        <v>14.487760000000002</v>
      </c>
      <c r="P128">
        <f t="shared" si="40"/>
        <v>7.243880000000001</v>
      </c>
      <c r="Q128">
        <f t="shared" si="41"/>
        <v>303011.5004000001</v>
      </c>
      <c r="R128">
        <v>0.05632</v>
      </c>
      <c r="S128">
        <f t="shared" si="42"/>
        <v>26.11185577464789</v>
      </c>
      <c r="T128">
        <f>S128*0.2*5*4183/31</f>
        <v>3523.4158937210364</v>
      </c>
    </row>
    <row r="129" spans="1:20" ht="12.75">
      <c r="A129" t="s">
        <v>101</v>
      </c>
      <c r="B129">
        <v>0.31392</v>
      </c>
      <c r="C129">
        <v>45</v>
      </c>
      <c r="G129">
        <v>30</v>
      </c>
      <c r="H129">
        <v>260</v>
      </c>
      <c r="I129">
        <v>80</v>
      </c>
      <c r="J129">
        <v>18</v>
      </c>
      <c r="L129">
        <f t="shared" si="43"/>
        <v>142</v>
      </c>
      <c r="M129">
        <f>(G131*G123+H131*H123+J129*J121)/L129</f>
        <v>463.63380281690144</v>
      </c>
      <c r="N129">
        <f t="shared" si="44"/>
        <v>67.50508169014086</v>
      </c>
      <c r="O129">
        <f t="shared" si="39"/>
        <v>15.772938666666668</v>
      </c>
      <c r="P129">
        <f t="shared" si="40"/>
        <v>7.886469333333334</v>
      </c>
      <c r="Q129">
        <f t="shared" si="41"/>
        <v>329891.0122133334</v>
      </c>
      <c r="R129">
        <v>0.00748</v>
      </c>
      <c r="S129">
        <f t="shared" si="42"/>
        <v>2.6834499999999997</v>
      </c>
      <c r="T129">
        <f>S129*0.2*5*4183/30</f>
        <v>374.1623783333334</v>
      </c>
    </row>
    <row r="130" spans="1:20" ht="12.75">
      <c r="A130" t="s">
        <v>102</v>
      </c>
      <c r="B130">
        <v>0.25988</v>
      </c>
      <c r="G130">
        <v>15</v>
      </c>
      <c r="H130">
        <v>150</v>
      </c>
      <c r="J130">
        <v>25</v>
      </c>
      <c r="L130">
        <f t="shared" si="43"/>
        <v>200</v>
      </c>
      <c r="M130">
        <f>(H132*H123+J130*J121)/L130</f>
        <v>358.75</v>
      </c>
      <c r="N130">
        <f t="shared" si="44"/>
        <v>72.4388</v>
      </c>
      <c r="O130">
        <f t="shared" si="39"/>
        <v>6.709107539823009</v>
      </c>
      <c r="P130">
        <f t="shared" si="40"/>
        <v>3.3545537699115044</v>
      </c>
      <c r="Q130">
        <f t="shared" si="41"/>
        <v>140320.98419539822</v>
      </c>
      <c r="R130">
        <v>-0.11452</v>
      </c>
      <c r="S130">
        <f t="shared" si="42"/>
        <v>-43.13077688888889</v>
      </c>
      <c r="T130">
        <f>S130*0.2*5*4183/31</f>
        <v>-5819.872249232975</v>
      </c>
    </row>
    <row r="131" spans="1:20" ht="12.75">
      <c r="A131" t="s">
        <v>103</v>
      </c>
      <c r="B131">
        <v>0.1456</v>
      </c>
      <c r="G131">
        <v>12</v>
      </c>
      <c r="H131">
        <v>100</v>
      </c>
      <c r="J131">
        <v>30</v>
      </c>
      <c r="L131">
        <f t="shared" si="43"/>
        <v>225</v>
      </c>
      <c r="M131">
        <f>(H133*H123+J131*J121)/L131</f>
        <v>376.6222222222222</v>
      </c>
      <c r="N131">
        <f t="shared" si="44"/>
        <v>78.86469333333334</v>
      </c>
      <c r="O131">
        <f t="shared" si="39"/>
        <v>33.946487999999995</v>
      </c>
      <c r="P131">
        <f t="shared" si="40"/>
        <v>16.973243999999998</v>
      </c>
      <c r="Q131">
        <f t="shared" si="41"/>
        <v>709990.7965199999</v>
      </c>
      <c r="R131">
        <v>-0.02252</v>
      </c>
      <c r="S131">
        <f t="shared" si="42"/>
        <v>-7.962115398230088</v>
      </c>
      <c r="T131">
        <f>S131*0.2*5*4183/31</f>
        <v>-1074.3718938966601</v>
      </c>
    </row>
    <row r="132" spans="1:20" ht="12.75">
      <c r="A132" t="s">
        <v>104</v>
      </c>
      <c r="B132">
        <v>0.20192</v>
      </c>
      <c r="H132">
        <v>170</v>
      </c>
      <c r="K132">
        <v>30</v>
      </c>
      <c r="L132">
        <f t="shared" si="43"/>
        <v>113</v>
      </c>
      <c r="M132">
        <f>(C134*C123+K132*K121)/L132</f>
        <v>353.5575221238938</v>
      </c>
      <c r="N132">
        <f t="shared" si="44"/>
        <v>33.545537699115044</v>
      </c>
      <c r="O132">
        <f t="shared" si="39"/>
        <v>45.46732000000001</v>
      </c>
      <c r="P132">
        <f t="shared" si="40"/>
        <v>22.733660000000004</v>
      </c>
      <c r="Q132">
        <f t="shared" si="41"/>
        <v>950948.9978000001</v>
      </c>
      <c r="R132">
        <v>0.00888</v>
      </c>
      <c r="S132">
        <f t="shared" si="42"/>
        <v>20.82952</v>
      </c>
      <c r="T132">
        <f>S132*0.2*5*4183/28</f>
        <v>3111.781505714286</v>
      </c>
    </row>
    <row r="133" spans="1:20" ht="12.75">
      <c r="A133" t="s">
        <v>105</v>
      </c>
      <c r="B133">
        <v>0.2094</v>
      </c>
      <c r="H133">
        <v>200</v>
      </c>
      <c r="K133">
        <v>25</v>
      </c>
      <c r="L133">
        <f t="shared" si="43"/>
        <v>12</v>
      </c>
      <c r="M133">
        <f>(C135*C123+K133*K121)/L133</f>
        <v>2345.6666666666665</v>
      </c>
      <c r="N133">
        <f t="shared" si="44"/>
        <v>169.73243999999997</v>
      </c>
      <c r="O133">
        <f>SUM(O121:O132)</f>
        <v>262.40596817662737</v>
      </c>
      <c r="P133">
        <f>SUM(P121:P132)</f>
        <v>131.20298408831368</v>
      </c>
      <c r="Q133">
        <f>SUM(Q121:Q132)</f>
        <v>5488220.824414161</v>
      </c>
      <c r="R133">
        <v>0.18384</v>
      </c>
      <c r="S133">
        <f t="shared" si="42"/>
        <v>514.4456</v>
      </c>
      <c r="T133">
        <f>S133*0.2*5*4183/31</f>
        <v>69416.96596129033</v>
      </c>
    </row>
    <row r="134" spans="1:18" ht="12.75">
      <c r="A134" t="s">
        <v>106</v>
      </c>
      <c r="B134">
        <v>0.09488</v>
      </c>
      <c r="C134">
        <v>28</v>
      </c>
      <c r="J134">
        <v>35</v>
      </c>
      <c r="K134">
        <v>50</v>
      </c>
      <c r="L134">
        <f t="shared" si="43"/>
        <v>30</v>
      </c>
      <c r="M134">
        <f>(C136*C123+F136*F123+J134*J121+K134*K121)/L134</f>
        <v>2798.3333333333335</v>
      </c>
      <c r="N134">
        <f t="shared" si="44"/>
        <v>227.33660000000003</v>
      </c>
      <c r="O134">
        <f>O133/12</f>
        <v>21.86716401471895</v>
      </c>
      <c r="P134">
        <f>P133/12</f>
        <v>10.933582007359474</v>
      </c>
      <c r="Q134">
        <f>Q133/12</f>
        <v>457351.73536784673</v>
      </c>
      <c r="R134" t="s">
        <v>138</v>
      </c>
    </row>
    <row r="135" spans="1:14" ht="12.75">
      <c r="A135" t="s">
        <v>107</v>
      </c>
      <c r="B135">
        <v>0.07236</v>
      </c>
      <c r="C135">
        <v>12</v>
      </c>
      <c r="M135">
        <f>SUM(M123:M134)/12</f>
        <v>813.6337242639664</v>
      </c>
      <c r="N135">
        <f>SUM(N123:N134)</f>
        <v>1312.0298408831368</v>
      </c>
    </row>
    <row r="136" spans="1:14" ht="12.75">
      <c r="A136" t="s">
        <v>108</v>
      </c>
      <c r="B136">
        <v>0.08124</v>
      </c>
      <c r="C136">
        <v>10</v>
      </c>
      <c r="F136">
        <v>20</v>
      </c>
      <c r="N136">
        <f>N135/12</f>
        <v>109.33582007359473</v>
      </c>
    </row>
    <row r="138" spans="1:12" ht="12.75">
      <c r="A138" t="s">
        <v>129</v>
      </c>
      <c r="B138" t="s">
        <v>130</v>
      </c>
      <c r="L138" t="s">
        <v>314</v>
      </c>
    </row>
    <row r="139" spans="1:14" ht="12.75">
      <c r="A139" t="s">
        <v>2</v>
      </c>
      <c r="B139" t="s">
        <v>113</v>
      </c>
      <c r="C139" t="s">
        <v>120</v>
      </c>
      <c r="L139" t="s">
        <v>315</v>
      </c>
      <c r="N139">
        <f>90*24</f>
        <v>2160</v>
      </c>
    </row>
    <row r="140" spans="1:14" ht="12.75">
      <c r="A140" t="s">
        <v>121</v>
      </c>
      <c r="B140">
        <v>30</v>
      </c>
      <c r="C140">
        <v>454</v>
      </c>
      <c r="L140" t="s">
        <v>316</v>
      </c>
      <c r="N140">
        <f>N139*12/32</f>
        <v>810</v>
      </c>
    </row>
    <row r="141" spans="1:14" ht="12.75">
      <c r="A141" t="s">
        <v>122</v>
      </c>
      <c r="B141">
        <v>13</v>
      </c>
      <c r="C141">
        <v>454</v>
      </c>
      <c r="L141" t="s">
        <v>317</v>
      </c>
      <c r="N141">
        <f>N136/1000*N140/1000</f>
        <v>0.08856201425961173</v>
      </c>
    </row>
    <row r="142" spans="1:14" ht="12.75">
      <c r="A142" t="s">
        <v>123</v>
      </c>
      <c r="B142">
        <v>50</v>
      </c>
      <c r="C142">
        <v>738</v>
      </c>
      <c r="L142" t="s">
        <v>318</v>
      </c>
      <c r="N142">
        <f>N141/4</f>
        <v>0.022140503564902932</v>
      </c>
    </row>
    <row r="143" spans="1:3" ht="12.75">
      <c r="A143" t="s">
        <v>124</v>
      </c>
      <c r="B143">
        <v>18</v>
      </c>
      <c r="C143">
        <v>170</v>
      </c>
    </row>
    <row r="144" spans="1:3" ht="12.75">
      <c r="A144" t="s">
        <v>125</v>
      </c>
      <c r="B144">
        <v>35</v>
      </c>
      <c r="C144">
        <v>1816</v>
      </c>
    </row>
    <row r="145" spans="1:3" ht="12.75">
      <c r="A145" t="s">
        <v>126</v>
      </c>
      <c r="B145">
        <v>30</v>
      </c>
      <c r="C145">
        <v>340</v>
      </c>
    </row>
    <row r="146" spans="1:3" ht="12.75">
      <c r="A146" t="s">
        <v>127</v>
      </c>
      <c r="B146">
        <v>25</v>
      </c>
      <c r="C146">
        <v>558</v>
      </c>
    </row>
    <row r="147" spans="1:22" ht="12.75">
      <c r="A147" t="s">
        <v>128</v>
      </c>
      <c r="B147">
        <v>50</v>
      </c>
      <c r="C147">
        <v>908</v>
      </c>
      <c r="V147" t="s">
        <v>142</v>
      </c>
    </row>
    <row r="148" spans="1:22" ht="12.75">
      <c r="A148" s="1" t="s">
        <v>119</v>
      </c>
      <c r="B148">
        <v>33</v>
      </c>
      <c r="C148">
        <v>724</v>
      </c>
      <c r="O148" t="s">
        <v>142</v>
      </c>
      <c r="P148" t="s">
        <v>143</v>
      </c>
      <c r="S148" t="s">
        <v>109</v>
      </c>
      <c r="T148" t="s">
        <v>265</v>
      </c>
      <c r="U148" t="s">
        <v>266</v>
      </c>
      <c r="V148" t="s">
        <v>267</v>
      </c>
    </row>
    <row r="149" spans="11:22" ht="12.75">
      <c r="K149" t="s">
        <v>196</v>
      </c>
      <c r="O149">
        <v>2.34</v>
      </c>
      <c r="P149">
        <f>O149*2*0.001*5*4183</f>
        <v>97.8822</v>
      </c>
      <c r="S149" t="s">
        <v>106</v>
      </c>
      <c r="T149">
        <v>0.734</v>
      </c>
      <c r="U149">
        <v>2.34</v>
      </c>
      <c r="V149">
        <v>-1.6</v>
      </c>
    </row>
    <row r="150" spans="5:22" ht="12.75">
      <c r="E150" t="s">
        <v>141</v>
      </c>
      <c r="F150" t="s">
        <v>142</v>
      </c>
      <c r="G150" t="s">
        <v>143</v>
      </c>
      <c r="K150" t="s">
        <v>109</v>
      </c>
      <c r="L150">
        <v>1957</v>
      </c>
      <c r="M150">
        <v>1958</v>
      </c>
      <c r="N150" t="s">
        <v>141</v>
      </c>
      <c r="O150">
        <v>0.35</v>
      </c>
      <c r="P150">
        <f aca="true" t="shared" si="45" ref="P150:P159">O150*2*0.001*5*4183</f>
        <v>14.640500000000001</v>
      </c>
      <c r="S150" t="s">
        <v>107</v>
      </c>
      <c r="T150">
        <v>0.246</v>
      </c>
      <c r="U150">
        <v>0.35</v>
      </c>
      <c r="V150">
        <v>-0.1</v>
      </c>
    </row>
    <row r="151" spans="2:22" ht="12.75">
      <c r="B151" t="s">
        <v>195</v>
      </c>
      <c r="E151">
        <v>0.029</v>
      </c>
      <c r="F151">
        <v>0.734</v>
      </c>
      <c r="G151">
        <f>F151*2*0.001*5*4183</f>
        <v>30.703219999999998</v>
      </c>
      <c r="K151" t="s">
        <v>106</v>
      </c>
      <c r="L151">
        <v>22</v>
      </c>
      <c r="M151">
        <v>125</v>
      </c>
      <c r="N151">
        <v>0.074</v>
      </c>
      <c r="O151">
        <v>0.12</v>
      </c>
      <c r="P151">
        <f t="shared" si="45"/>
        <v>5.0196000000000005</v>
      </c>
      <c r="S151" t="s">
        <v>108</v>
      </c>
      <c r="T151">
        <v>0.138</v>
      </c>
      <c r="U151">
        <v>0.12</v>
      </c>
      <c r="V151">
        <v>0.02</v>
      </c>
    </row>
    <row r="152" spans="2:22" ht="12.75">
      <c r="B152" t="s">
        <v>109</v>
      </c>
      <c r="C152">
        <v>1957</v>
      </c>
      <c r="D152">
        <v>1958</v>
      </c>
      <c r="E152">
        <v>0.012</v>
      </c>
      <c r="F152">
        <v>0.246</v>
      </c>
      <c r="G152">
        <f aca="true" t="shared" si="46" ref="G152:G161">F152*2*0.001*5*4183</f>
        <v>10.290180000000001</v>
      </c>
      <c r="K152" t="s">
        <v>107</v>
      </c>
      <c r="L152">
        <v>12</v>
      </c>
      <c r="M152">
        <v>20</v>
      </c>
      <c r="N152">
        <v>0.016</v>
      </c>
      <c r="O152">
        <v>0.18</v>
      </c>
      <c r="P152">
        <f t="shared" si="45"/>
        <v>7.5294</v>
      </c>
      <c r="S152" t="s">
        <v>97</v>
      </c>
      <c r="T152">
        <v>0.161</v>
      </c>
      <c r="U152">
        <v>0.18</v>
      </c>
      <c r="V152">
        <v>-0.02</v>
      </c>
    </row>
    <row r="153" spans="2:22" ht="12.75">
      <c r="B153" t="s">
        <v>106</v>
      </c>
      <c r="C153">
        <v>18</v>
      </c>
      <c r="D153">
        <v>40</v>
      </c>
      <c r="E153">
        <v>0.0075</v>
      </c>
      <c r="F153">
        <v>0.138</v>
      </c>
      <c r="G153">
        <f t="shared" si="46"/>
        <v>5.77254</v>
      </c>
      <c r="K153" t="s">
        <v>108</v>
      </c>
      <c r="L153">
        <v>2</v>
      </c>
      <c r="M153">
        <v>11</v>
      </c>
      <c r="N153">
        <v>0.0065</v>
      </c>
      <c r="O153">
        <v>0.3</v>
      </c>
      <c r="P153">
        <f t="shared" si="45"/>
        <v>12.548999999999998</v>
      </c>
      <c r="S153" t="s">
        <v>98</v>
      </c>
      <c r="T153">
        <v>0.104</v>
      </c>
      <c r="U153">
        <v>0.3</v>
      </c>
      <c r="V153">
        <v>-0.02</v>
      </c>
    </row>
    <row r="154" spans="2:22" ht="12.75">
      <c r="B154" t="s">
        <v>107</v>
      </c>
      <c r="C154">
        <v>9</v>
      </c>
      <c r="D154">
        <v>15</v>
      </c>
      <c r="E154">
        <v>0.0085</v>
      </c>
      <c r="F154">
        <v>0.161</v>
      </c>
      <c r="G154">
        <f t="shared" si="46"/>
        <v>6.73463</v>
      </c>
      <c r="K154" t="s">
        <v>97</v>
      </c>
      <c r="L154">
        <v>11</v>
      </c>
      <c r="M154">
        <v>8</v>
      </c>
      <c r="N154">
        <v>0.0095</v>
      </c>
      <c r="O154">
        <v>0.46</v>
      </c>
      <c r="P154">
        <f t="shared" si="45"/>
        <v>19.2418</v>
      </c>
      <c r="S154" t="s">
        <v>99</v>
      </c>
      <c r="T154">
        <v>0.407</v>
      </c>
      <c r="U154">
        <v>0.46</v>
      </c>
      <c r="V154">
        <v>-0.05</v>
      </c>
    </row>
    <row r="155" spans="2:22" ht="12.75">
      <c r="B155" t="s">
        <v>108</v>
      </c>
      <c r="C155">
        <v>6</v>
      </c>
      <c r="D155">
        <v>9</v>
      </c>
      <c r="E155">
        <v>0.006</v>
      </c>
      <c r="F155">
        <v>0.104</v>
      </c>
      <c r="G155">
        <f t="shared" si="46"/>
        <v>4.35032</v>
      </c>
      <c r="K155" t="s">
        <v>98</v>
      </c>
      <c r="L155">
        <v>10</v>
      </c>
      <c r="M155">
        <v>18</v>
      </c>
      <c r="N155">
        <v>0.014</v>
      </c>
      <c r="O155">
        <v>1.69</v>
      </c>
      <c r="P155">
        <f t="shared" si="45"/>
        <v>70.69269999999999</v>
      </c>
      <c r="S155" t="s">
        <v>100</v>
      </c>
      <c r="T155">
        <v>1.26</v>
      </c>
      <c r="U155">
        <v>1.69</v>
      </c>
      <c r="V155">
        <v>-0.43</v>
      </c>
    </row>
    <row r="156" spans="2:22" ht="12.75">
      <c r="B156" t="s">
        <v>97</v>
      </c>
      <c r="C156">
        <v>5</v>
      </c>
      <c r="D156">
        <v>12</v>
      </c>
      <c r="E156">
        <v>0.018</v>
      </c>
      <c r="F156">
        <v>0.407</v>
      </c>
      <c r="G156">
        <f t="shared" si="46"/>
        <v>17.02481</v>
      </c>
      <c r="K156" t="s">
        <v>99</v>
      </c>
      <c r="L156">
        <v>25</v>
      </c>
      <c r="M156">
        <v>15</v>
      </c>
      <c r="N156">
        <v>0.02</v>
      </c>
      <c r="O156">
        <v>1.4</v>
      </c>
      <c r="P156">
        <f t="shared" si="45"/>
        <v>58.562000000000005</v>
      </c>
      <c r="S156" t="s">
        <v>101</v>
      </c>
      <c r="T156">
        <v>0.184</v>
      </c>
      <c r="U156">
        <v>1.4</v>
      </c>
      <c r="V156">
        <v>-1.22</v>
      </c>
    </row>
    <row r="157" spans="2:22" ht="12.75">
      <c r="B157" t="s">
        <v>98</v>
      </c>
      <c r="C157">
        <v>5</v>
      </c>
      <c r="D157">
        <v>7</v>
      </c>
      <c r="E157">
        <v>0.045</v>
      </c>
      <c r="F157">
        <v>1.26</v>
      </c>
      <c r="G157">
        <f t="shared" si="46"/>
        <v>52.7058</v>
      </c>
      <c r="K157" t="s">
        <v>100</v>
      </c>
      <c r="L157">
        <v>14</v>
      </c>
      <c r="M157">
        <v>100</v>
      </c>
      <c r="N157">
        <v>0.057</v>
      </c>
      <c r="O157">
        <v>0.61</v>
      </c>
      <c r="P157">
        <f t="shared" si="45"/>
        <v>25.516299999999998</v>
      </c>
      <c r="S157" t="s">
        <v>102</v>
      </c>
      <c r="T157">
        <v>0.285</v>
      </c>
      <c r="U157">
        <v>0.61</v>
      </c>
      <c r="V157">
        <v>-0.33</v>
      </c>
    </row>
    <row r="158" spans="2:22" ht="12.75">
      <c r="B158" t="s">
        <v>99</v>
      </c>
      <c r="C158">
        <v>6</v>
      </c>
      <c r="D158">
        <v>30</v>
      </c>
      <c r="E158">
        <v>0.0095</v>
      </c>
      <c r="F158">
        <v>0.184</v>
      </c>
      <c r="G158">
        <f t="shared" si="46"/>
        <v>7.69672</v>
      </c>
      <c r="K158" t="s">
        <v>101</v>
      </c>
      <c r="L158">
        <v>3</v>
      </c>
      <c r="M158">
        <v>95</v>
      </c>
      <c r="N158">
        <v>0.049</v>
      </c>
      <c r="O158">
        <v>0.43</v>
      </c>
      <c r="P158">
        <f t="shared" si="45"/>
        <v>17.9869</v>
      </c>
      <c r="S158" t="s">
        <v>103</v>
      </c>
      <c r="T158">
        <v>0.52</v>
      </c>
      <c r="U158">
        <v>0.43</v>
      </c>
      <c r="V158">
        <v>0.09</v>
      </c>
    </row>
    <row r="159" spans="2:22" ht="12.75">
      <c r="B159" t="s">
        <v>100</v>
      </c>
      <c r="C159">
        <v>5</v>
      </c>
      <c r="D159">
        <v>85</v>
      </c>
      <c r="E159">
        <v>0.0135</v>
      </c>
      <c r="F159">
        <v>0.285</v>
      </c>
      <c r="G159">
        <f t="shared" si="46"/>
        <v>11.92155</v>
      </c>
      <c r="K159" t="s">
        <v>102</v>
      </c>
      <c r="L159">
        <v>12</v>
      </c>
      <c r="M159">
        <v>38</v>
      </c>
      <c r="N159">
        <v>0.025</v>
      </c>
      <c r="O159">
        <v>0.46</v>
      </c>
      <c r="P159">
        <f t="shared" si="45"/>
        <v>19.2418</v>
      </c>
      <c r="S159" t="s">
        <v>104</v>
      </c>
      <c r="T159">
        <v>0.38</v>
      </c>
      <c r="U159">
        <v>0.46</v>
      </c>
      <c r="V159">
        <v>-0.08</v>
      </c>
    </row>
    <row r="160" spans="2:22" ht="12.75">
      <c r="B160" t="s">
        <v>101</v>
      </c>
      <c r="C160">
        <v>3</v>
      </c>
      <c r="D160">
        <v>16</v>
      </c>
      <c r="E160">
        <v>0.022</v>
      </c>
      <c r="F160">
        <v>0.52</v>
      </c>
      <c r="G160">
        <f t="shared" si="46"/>
        <v>21.751600000000003</v>
      </c>
      <c r="K160" t="s">
        <v>103</v>
      </c>
      <c r="L160">
        <v>18</v>
      </c>
      <c r="M160">
        <v>20</v>
      </c>
      <c r="N160">
        <v>0.019</v>
      </c>
      <c r="O160">
        <v>0.45</v>
      </c>
      <c r="P160">
        <f>O160*2*0.001*5*4183</f>
        <v>18.823500000000003</v>
      </c>
      <c r="S160" t="s">
        <v>105</v>
      </c>
      <c r="T160">
        <v>0.797</v>
      </c>
      <c r="U160">
        <v>0.45</v>
      </c>
      <c r="V160">
        <v>0.35</v>
      </c>
    </row>
    <row r="161" spans="2:22" ht="12.75">
      <c r="B161" t="s">
        <v>102</v>
      </c>
      <c r="C161">
        <v>17</v>
      </c>
      <c r="D161">
        <v>10</v>
      </c>
      <c r="E161">
        <v>0.017</v>
      </c>
      <c r="F161">
        <v>0.38</v>
      </c>
      <c r="G161">
        <f t="shared" si="46"/>
        <v>15.895400000000002</v>
      </c>
      <c r="K161" t="s">
        <v>104</v>
      </c>
      <c r="L161">
        <v>10</v>
      </c>
      <c r="M161">
        <v>30</v>
      </c>
      <c r="N161">
        <v>0.02</v>
      </c>
      <c r="O161">
        <f>SUM(O149:O160)</f>
        <v>8.79</v>
      </c>
      <c r="P161">
        <f>SUM(P149:P160)</f>
        <v>367.68570000000005</v>
      </c>
      <c r="V161">
        <f>SUM(V149:V160)/12</f>
        <v>-0.28250000000000003</v>
      </c>
    </row>
    <row r="162" spans="2:22" ht="12.75">
      <c r="B162" t="s">
        <v>103</v>
      </c>
      <c r="C162">
        <v>36</v>
      </c>
      <c r="D162">
        <v>8</v>
      </c>
      <c r="E162">
        <v>0.031</v>
      </c>
      <c r="F162">
        <v>0.797</v>
      </c>
      <c r="G162">
        <f>F162*2*0.001*5*4183</f>
        <v>33.33851000000001</v>
      </c>
      <c r="K162" t="s">
        <v>105</v>
      </c>
      <c r="L162">
        <v>9</v>
      </c>
      <c r="M162">
        <v>30</v>
      </c>
      <c r="N162">
        <v>0.0195</v>
      </c>
      <c r="O162">
        <f>(O161/12000)*8.5</f>
        <v>0.00622625</v>
      </c>
      <c r="P162">
        <f>P161/12</f>
        <v>30.640475000000006</v>
      </c>
      <c r="Q162" t="s">
        <v>144</v>
      </c>
      <c r="U162" t="s">
        <v>268</v>
      </c>
      <c r="V162">
        <f>V161*8.5/1000</f>
        <v>-0.00240125</v>
      </c>
    </row>
    <row r="163" spans="2:22" ht="12.75">
      <c r="B163" t="s">
        <v>104</v>
      </c>
      <c r="C163">
        <v>8</v>
      </c>
      <c r="D163">
        <v>26</v>
      </c>
      <c r="E163">
        <f>F163/12</f>
        <v>0.4346666666666666</v>
      </c>
      <c r="F163">
        <f>SUM(F151:F162)</f>
        <v>5.215999999999999</v>
      </c>
      <c r="G163">
        <f>SUM(G151:G162)</f>
        <v>218.18528</v>
      </c>
      <c r="M163" t="s">
        <v>218</v>
      </c>
      <c r="N163">
        <f>O161/12000</f>
        <v>0.0007325</v>
      </c>
      <c r="O163">
        <f>P163/(5*4183*2)</f>
        <v>0.006226250000000001</v>
      </c>
      <c r="P163">
        <f>P162*8.5</f>
        <v>260.44403750000004</v>
      </c>
      <c r="Q163" t="s">
        <v>194</v>
      </c>
      <c r="U163" t="s">
        <v>271</v>
      </c>
      <c r="V163" s="2">
        <f>O164*K30</f>
        <v>107517.83333333336</v>
      </c>
    </row>
    <row r="164" spans="2:22" ht="12.75">
      <c r="B164" t="s">
        <v>105</v>
      </c>
      <c r="C164">
        <v>10</v>
      </c>
      <c r="D164">
        <v>52</v>
      </c>
      <c r="F164">
        <f>(F163/12000)*8.5</f>
        <v>0.003694666666666666</v>
      </c>
      <c r="G164">
        <f>G163/12</f>
        <v>18.182106666666666</v>
      </c>
      <c r="H164" t="s">
        <v>144</v>
      </c>
      <c r="N164" t="s">
        <v>137</v>
      </c>
      <c r="O164">
        <f>N163-F166</f>
        <v>0.0002978333333333334</v>
      </c>
      <c r="V164" s="2">
        <f>V163/B27</f>
        <v>0.0010378169240669243</v>
      </c>
    </row>
    <row r="165" spans="6:17" ht="12.75">
      <c r="F165">
        <f>G165/(5*4183*2)</f>
        <v>0.0036946666666666664</v>
      </c>
      <c r="G165">
        <f>G164*8.5</f>
        <v>154.54790666666665</v>
      </c>
      <c r="H165" t="s">
        <v>194</v>
      </c>
      <c r="O165">
        <f>O164*8.5</f>
        <v>0.0025315833333333336</v>
      </c>
      <c r="Q165">
        <f>O163*0.2</f>
        <v>0.0012452500000000003</v>
      </c>
    </row>
    <row r="166" spans="5:16" ht="12.75">
      <c r="E166" t="s">
        <v>218</v>
      </c>
      <c r="F166">
        <f>F164/8.5</f>
        <v>0.0004346666666666666</v>
      </c>
      <c r="O166" t="s">
        <v>309</v>
      </c>
      <c r="P166" t="s">
        <v>310</v>
      </c>
    </row>
    <row r="167" spans="14:16" ht="12.75">
      <c r="N167" t="s">
        <v>269</v>
      </c>
      <c r="O167">
        <v>17</v>
      </c>
      <c r="P167">
        <f>O167/5*0.5</f>
        <v>1.7</v>
      </c>
    </row>
    <row r="168" spans="5:14" ht="12.75">
      <c r="E168" t="s">
        <v>149</v>
      </c>
      <c r="F168" t="s">
        <v>150</v>
      </c>
      <c r="G168" t="s">
        <v>151</v>
      </c>
      <c r="H168" t="s">
        <v>152</v>
      </c>
      <c r="I168" t="s">
        <v>153</v>
      </c>
      <c r="J168" t="s">
        <v>154</v>
      </c>
      <c r="K168" t="s">
        <v>155</v>
      </c>
      <c r="L168" t="s">
        <v>156</v>
      </c>
      <c r="M168" t="s">
        <v>93</v>
      </c>
      <c r="N168" t="s">
        <v>137</v>
      </c>
    </row>
    <row r="169" spans="2:16" ht="12.75">
      <c r="B169" t="s">
        <v>145</v>
      </c>
      <c r="E169">
        <v>3</v>
      </c>
      <c r="F169">
        <v>9.5</v>
      </c>
      <c r="G169">
        <v>11.5</v>
      </c>
      <c r="H169">
        <v>10.5</v>
      </c>
      <c r="I169">
        <f>H169*454</f>
        <v>4767</v>
      </c>
      <c r="J169">
        <f>I169*0.2</f>
        <v>953.4000000000001</v>
      </c>
      <c r="K169">
        <f>J169*0.5</f>
        <v>476.70000000000005</v>
      </c>
      <c r="L169">
        <f>J169*5*4183</f>
        <v>19940361</v>
      </c>
      <c r="M169">
        <f>L169/(742*10000)</f>
        <v>2.687380188679245</v>
      </c>
      <c r="N169">
        <f>K169/(742*10000)</f>
        <v>6.424528301886794E-05</v>
      </c>
      <c r="O169" t="s">
        <v>312</v>
      </c>
      <c r="P169">
        <f>P167/742/10000</f>
        <v>2.2911051212938004E-07</v>
      </c>
    </row>
    <row r="170" spans="2:16" ht="12.75">
      <c r="B170" t="s">
        <v>146</v>
      </c>
      <c r="C170" t="s">
        <v>147</v>
      </c>
      <c r="D170" t="s">
        <v>148</v>
      </c>
      <c r="E170">
        <v>2</v>
      </c>
      <c r="O170" t="s">
        <v>313</v>
      </c>
      <c r="P170">
        <f>P169/4</f>
        <v>5.727762803234501E-08</v>
      </c>
    </row>
    <row r="171" spans="2:14" ht="12.75">
      <c r="B171">
        <v>1977</v>
      </c>
      <c r="C171">
        <v>14</v>
      </c>
      <c r="D171">
        <v>10</v>
      </c>
      <c r="L171" t="s">
        <v>311</v>
      </c>
      <c r="M171">
        <f>454*0.75*0.2*0.5</f>
        <v>34.050000000000004</v>
      </c>
      <c r="N171">
        <f>M171/(742*10000)</f>
        <v>4.5889487870619955E-06</v>
      </c>
    </row>
    <row r="172" spans="2:14" ht="12.75">
      <c r="B172">
        <v>1978</v>
      </c>
      <c r="C172">
        <v>14</v>
      </c>
      <c r="D172">
        <v>12</v>
      </c>
      <c r="M172" t="s">
        <v>273</v>
      </c>
      <c r="N172">
        <f>N171*0.14</f>
        <v>6.424528301886794E-07</v>
      </c>
    </row>
    <row r="173" spans="2:14" ht="12.75">
      <c r="B173" t="s">
        <v>157</v>
      </c>
      <c r="M173" t="s">
        <v>272</v>
      </c>
      <c r="N173">
        <f>N171*0.81</f>
        <v>3.7170485175202166E-06</v>
      </c>
    </row>
    <row r="175" spans="10:13" ht="12.75">
      <c r="J175" t="s">
        <v>174</v>
      </c>
      <c r="K175" t="s">
        <v>93</v>
      </c>
      <c r="L175" t="s">
        <v>319</v>
      </c>
      <c r="M175" t="s">
        <v>320</v>
      </c>
    </row>
    <row r="176" spans="2:14" ht="12.75">
      <c r="B176" t="s">
        <v>158</v>
      </c>
      <c r="J176" s="2">
        <f>I178*0.5</f>
        <v>0.0637065637065637</v>
      </c>
      <c r="K176" s="2">
        <f>I178*5*4183</f>
        <v>2664.84555984556</v>
      </c>
      <c r="L176">
        <f>650*(E178/1000)^-0.25</f>
        <v>200.7082320076241</v>
      </c>
      <c r="M176">
        <f>L176*1.7</f>
        <v>341.203994412961</v>
      </c>
      <c r="N176" t="s">
        <v>321</v>
      </c>
    </row>
    <row r="177" spans="2:13" ht="12.75">
      <c r="B177" t="s">
        <v>146</v>
      </c>
      <c r="C177" t="s">
        <v>163</v>
      </c>
      <c r="D177" t="s">
        <v>159</v>
      </c>
      <c r="E177" t="s">
        <v>161</v>
      </c>
      <c r="F177" t="s">
        <v>164</v>
      </c>
      <c r="G177" t="s">
        <v>165</v>
      </c>
      <c r="H177" t="s">
        <v>173</v>
      </c>
      <c r="I177" t="s">
        <v>55</v>
      </c>
      <c r="L177" t="s">
        <v>322</v>
      </c>
      <c r="M177">
        <f>M176*12/22.4</f>
        <v>182.78785414980052</v>
      </c>
    </row>
    <row r="178" spans="2:13" ht="12.75">
      <c r="B178">
        <v>1980</v>
      </c>
      <c r="C178" t="s">
        <v>162</v>
      </c>
      <c r="D178" t="s">
        <v>160</v>
      </c>
      <c r="E178">
        <f>110*1000</f>
        <v>110000</v>
      </c>
      <c r="F178">
        <v>600</v>
      </c>
      <c r="G178">
        <f>F178*E178</f>
        <v>66000000</v>
      </c>
      <c r="H178" s="2">
        <f>G178/B27</f>
        <v>0.637065637065637</v>
      </c>
      <c r="I178" s="2">
        <f>H178*0.2</f>
        <v>0.1274131274131274</v>
      </c>
      <c r="L178" t="s">
        <v>325</v>
      </c>
      <c r="M178" s="2">
        <f>(M177*24)/1000</f>
        <v>4.386908499595212</v>
      </c>
    </row>
    <row r="179" spans="12:13" ht="12.75">
      <c r="L179" t="s">
        <v>326</v>
      </c>
      <c r="M179" s="2">
        <f>M178*J176/1000</f>
        <v>0.0002794748658043282</v>
      </c>
    </row>
    <row r="180" spans="12:13" ht="12.75">
      <c r="L180" t="s">
        <v>324</v>
      </c>
      <c r="M180" s="2">
        <f>M179/4</f>
        <v>6.986871645108204E-05</v>
      </c>
    </row>
    <row r="181" ht="12.75">
      <c r="L181" t="s">
        <v>327</v>
      </c>
    </row>
    <row r="182" ht="12.75">
      <c r="L182" t="s">
        <v>328</v>
      </c>
    </row>
    <row r="183" ht="12.75">
      <c r="J183" t="s">
        <v>267</v>
      </c>
    </row>
    <row r="184" spans="5:10" ht="12.75">
      <c r="E184" t="s">
        <v>219</v>
      </c>
      <c r="J184" t="s">
        <v>286</v>
      </c>
    </row>
    <row r="185" spans="1:10" ht="12.75">
      <c r="A185" t="s">
        <v>216</v>
      </c>
      <c r="G185" t="s">
        <v>210</v>
      </c>
      <c r="H185" t="s">
        <v>284</v>
      </c>
      <c r="I185" t="s">
        <v>285</v>
      </c>
      <c r="J185">
        <v>-0.13</v>
      </c>
    </row>
    <row r="186" spans="1:10" ht="12.75">
      <c r="A186" t="s">
        <v>210</v>
      </c>
      <c r="B186" t="s">
        <v>220</v>
      </c>
      <c r="C186" t="s">
        <v>221</v>
      </c>
      <c r="D186" t="s">
        <v>218</v>
      </c>
      <c r="H186" t="s">
        <v>286</v>
      </c>
      <c r="I186" t="s">
        <v>287</v>
      </c>
      <c r="J186">
        <v>0.47</v>
      </c>
    </row>
    <row r="187" spans="1:10" ht="12.75">
      <c r="A187" t="s">
        <v>211</v>
      </c>
      <c r="B187">
        <v>0.12</v>
      </c>
      <c r="C187">
        <f aca="true" t="shared" si="47" ref="C187:C192">B187*30</f>
        <v>3.5999999999999996</v>
      </c>
      <c r="D187">
        <f>C187/1000</f>
        <v>0.0035999999999999995</v>
      </c>
      <c r="G187" t="s">
        <v>211</v>
      </c>
      <c r="H187">
        <v>0.12</v>
      </c>
      <c r="I187">
        <v>0.25</v>
      </c>
      <c r="J187">
        <v>1.54</v>
      </c>
    </row>
    <row r="188" spans="1:10" ht="12.75">
      <c r="A188" t="s">
        <v>212</v>
      </c>
      <c r="B188">
        <v>1.84</v>
      </c>
      <c r="C188">
        <f t="shared" si="47"/>
        <v>55.2</v>
      </c>
      <c r="D188">
        <f>C188/1000</f>
        <v>0.055200000000000006</v>
      </c>
      <c r="G188" t="s">
        <v>274</v>
      </c>
      <c r="H188">
        <v>1.84</v>
      </c>
      <c r="I188">
        <v>1.37</v>
      </c>
      <c r="J188">
        <v>-0.52</v>
      </c>
    </row>
    <row r="189" spans="1:10" ht="12.75">
      <c r="A189" t="s">
        <v>213</v>
      </c>
      <c r="B189">
        <v>2.37</v>
      </c>
      <c r="C189">
        <f t="shared" si="47"/>
        <v>71.10000000000001</v>
      </c>
      <c r="D189">
        <f>C189/1000</f>
        <v>0.07110000000000001</v>
      </c>
      <c r="G189" t="s">
        <v>275</v>
      </c>
      <c r="H189">
        <v>2.37</v>
      </c>
      <c r="I189">
        <v>0.83</v>
      </c>
      <c r="J189">
        <v>-0.37</v>
      </c>
    </row>
    <row r="190" spans="1:10" ht="12.75">
      <c r="A190" t="s">
        <v>214</v>
      </c>
      <c r="B190">
        <v>0.24</v>
      </c>
      <c r="C190">
        <f t="shared" si="47"/>
        <v>7.199999999999999</v>
      </c>
      <c r="D190">
        <f>C190/1000</f>
        <v>0.007199999999999999</v>
      </c>
      <c r="G190" t="s">
        <v>283</v>
      </c>
      <c r="H190">
        <v>0.24</v>
      </c>
      <c r="I190">
        <v>0.76</v>
      </c>
      <c r="J190">
        <f>SUM(J185:J189)/5</f>
        <v>0.19799999999999998</v>
      </c>
    </row>
    <row r="191" spans="1:10" ht="12.75">
      <c r="A191" t="s">
        <v>215</v>
      </c>
      <c r="B191">
        <v>0.22</v>
      </c>
      <c r="C191">
        <f t="shared" si="47"/>
        <v>6.6</v>
      </c>
      <c r="D191">
        <f>C191/1000</f>
        <v>0.0066</v>
      </c>
      <c r="G191" t="s">
        <v>276</v>
      </c>
      <c r="H191">
        <v>0.22</v>
      </c>
      <c r="I191">
        <v>0.59</v>
      </c>
      <c r="J191">
        <f>J190*30</f>
        <v>5.9399999999999995</v>
      </c>
    </row>
    <row r="192" spans="1:10" ht="12.75">
      <c r="A192" t="s">
        <v>217</v>
      </c>
      <c r="B192">
        <f>SUM(B187:B191)/5</f>
        <v>0.958</v>
      </c>
      <c r="C192">
        <f t="shared" si="47"/>
        <v>28.74</v>
      </c>
      <c r="D192">
        <f>SUM(D187:D191)/5</f>
        <v>0.028740000000000005</v>
      </c>
      <c r="J192" s="2">
        <f>J191*K30/1000</f>
        <v>2144339.9999999995</v>
      </c>
    </row>
    <row r="193" spans="1:10" ht="12.75">
      <c r="A193" t="s">
        <v>10</v>
      </c>
      <c r="H193" t="s">
        <v>290</v>
      </c>
      <c r="I193" t="s">
        <v>221</v>
      </c>
      <c r="J193" s="2">
        <f>J192/B27</f>
        <v>0.020698262548262545</v>
      </c>
    </row>
    <row r="194" spans="1:9" ht="12.75">
      <c r="A194" t="s">
        <v>210</v>
      </c>
      <c r="B194" t="s">
        <v>277</v>
      </c>
      <c r="C194" t="s">
        <v>278</v>
      </c>
      <c r="D194" t="s">
        <v>279</v>
      </c>
      <c r="E194" t="s">
        <v>280</v>
      </c>
      <c r="I194" t="s">
        <v>291</v>
      </c>
    </row>
    <row r="195" spans="1:9" ht="12.75">
      <c r="A195" t="s">
        <v>288</v>
      </c>
      <c r="B195" t="s">
        <v>281</v>
      </c>
      <c r="C195" t="s">
        <v>282</v>
      </c>
      <c r="D195" t="s">
        <v>282</v>
      </c>
      <c r="E195" t="s">
        <v>281</v>
      </c>
      <c r="I195" t="s">
        <v>292</v>
      </c>
    </row>
    <row r="196" spans="1:5" ht="12.75">
      <c r="A196" t="s">
        <v>211</v>
      </c>
      <c r="B196">
        <v>14.4</v>
      </c>
      <c r="C196">
        <v>2.24</v>
      </c>
      <c r="D196">
        <v>-0.14</v>
      </c>
      <c r="E196">
        <v>16.5</v>
      </c>
    </row>
    <row r="197" spans="1:5" ht="12.75">
      <c r="A197" t="s">
        <v>274</v>
      </c>
      <c r="B197">
        <v>6</v>
      </c>
      <c r="C197">
        <v>12.7</v>
      </c>
      <c r="D197">
        <v>0.7</v>
      </c>
      <c r="E197">
        <v>19.4</v>
      </c>
    </row>
    <row r="198" spans="1:5" ht="12.75">
      <c r="A198" t="s">
        <v>275</v>
      </c>
      <c r="B198">
        <v>6.3</v>
      </c>
      <c r="C198">
        <v>17.2</v>
      </c>
      <c r="D198">
        <v>0.84</v>
      </c>
      <c r="E198">
        <v>24.3</v>
      </c>
    </row>
    <row r="199" spans="1:5" ht="12.75">
      <c r="A199" t="s">
        <v>214</v>
      </c>
      <c r="B199">
        <v>-43.3</v>
      </c>
      <c r="C199">
        <v>-0.56</v>
      </c>
      <c r="D199">
        <v>-4.48</v>
      </c>
      <c r="E199">
        <v>-48.3</v>
      </c>
    </row>
    <row r="200" spans="1:5" ht="12.75">
      <c r="A200" t="s">
        <v>276</v>
      </c>
      <c r="B200">
        <v>7.1</v>
      </c>
      <c r="C200">
        <v>-6.86</v>
      </c>
      <c r="D200">
        <v>-1.14</v>
      </c>
      <c r="E200">
        <v>-1.12</v>
      </c>
    </row>
    <row r="201" spans="4:8" ht="12.75">
      <c r="D201" t="s">
        <v>289</v>
      </c>
      <c r="E201">
        <f>SUM(E196:E200)/5</f>
        <v>2.156000000000001</v>
      </c>
      <c r="H201" t="s">
        <v>355</v>
      </c>
    </row>
    <row r="202" spans="4:8" ht="12.75">
      <c r="D202" t="s">
        <v>293</v>
      </c>
      <c r="E202" s="2">
        <f>E201*K30/1000</f>
        <v>778316.0000000003</v>
      </c>
      <c r="H202" s="2">
        <v>44800000</v>
      </c>
    </row>
    <row r="203" spans="4:11" ht="12.75">
      <c r="D203" t="s">
        <v>294</v>
      </c>
      <c r="E203" s="2">
        <f>E202/B27</f>
        <v>0.007512702702702706</v>
      </c>
      <c r="H203" t="s">
        <v>354</v>
      </c>
      <c r="J203" t="s">
        <v>346</v>
      </c>
      <c r="K203" t="s">
        <v>353</v>
      </c>
    </row>
    <row r="204" spans="8:10" ht="12.75">
      <c r="H204" s="2">
        <v>71670000</v>
      </c>
      <c r="J204" t="s">
        <v>323</v>
      </c>
    </row>
    <row r="205" spans="1:10" ht="12.75">
      <c r="A205" t="s">
        <v>352</v>
      </c>
      <c r="H205" t="s">
        <v>344</v>
      </c>
      <c r="I205" t="s">
        <v>345</v>
      </c>
      <c r="J205" s="2">
        <f>H207*I207</f>
        <v>7.725793627183956E-06</v>
      </c>
    </row>
    <row r="206" spans="1:10" ht="12.75">
      <c r="A206" t="s">
        <v>351</v>
      </c>
      <c r="B206" t="s">
        <v>330</v>
      </c>
      <c r="C206" t="s">
        <v>339</v>
      </c>
      <c r="D206" t="s">
        <v>340</v>
      </c>
      <c r="E206" t="s">
        <v>341</v>
      </c>
      <c r="F206" t="s">
        <v>342</v>
      </c>
      <c r="G206" t="s">
        <v>343</v>
      </c>
      <c r="H206" t="s">
        <v>323</v>
      </c>
      <c r="J206" s="2">
        <f>H208*I208</f>
        <v>6.012146355728595E-06</v>
      </c>
    </row>
    <row r="207" spans="1:10" ht="12.75">
      <c r="A207" t="s">
        <v>331</v>
      </c>
      <c r="B207">
        <v>49962</v>
      </c>
      <c r="C207">
        <v>82</v>
      </c>
      <c r="D207">
        <v>49.5</v>
      </c>
      <c r="F207">
        <v>2.69</v>
      </c>
      <c r="G207">
        <f>B207*454*(1-C207/100)*(D207/100)</f>
        <v>2021032.8468000004</v>
      </c>
      <c r="H207" s="2">
        <f>G207/$H$204/365</f>
        <v>7.725793627183955E-05</v>
      </c>
      <c r="I207">
        <v>0.1</v>
      </c>
      <c r="J207" s="2">
        <f>H209*I209</f>
        <v>7.990629086509517E-06</v>
      </c>
    </row>
    <row r="208" spans="1:10" ht="12.75">
      <c r="A208" t="s">
        <v>329</v>
      </c>
      <c r="B208">
        <v>34992</v>
      </c>
      <c r="C208">
        <v>80</v>
      </c>
      <c r="D208">
        <v>49.5</v>
      </c>
      <c r="F208">
        <v>2.6</v>
      </c>
      <c r="G208">
        <f aca="true" t="shared" si="48" ref="G208:G217">B208*454*(1-C208/100)*(D208/100)</f>
        <v>1572750.4319999996</v>
      </c>
      <c r="H208" s="2">
        <f>G208/$H$204/365</f>
        <v>6.012146355728595E-05</v>
      </c>
      <c r="I208">
        <v>0.1</v>
      </c>
      <c r="J208" s="2">
        <f>H210*I210</f>
        <v>6.304587433652338E-05</v>
      </c>
    </row>
    <row r="209" spans="1:11" ht="12.75">
      <c r="A209" t="s">
        <v>332</v>
      </c>
      <c r="B209">
        <v>38756</v>
      </c>
      <c r="C209">
        <v>76</v>
      </c>
      <c r="D209">
        <v>49.5</v>
      </c>
      <c r="F209">
        <v>3.44</v>
      </c>
      <c r="G209">
        <f t="shared" si="48"/>
        <v>2090312.6112</v>
      </c>
      <c r="H209" s="2">
        <f>G209/$H$204/365</f>
        <v>7.990629086509516E-05</v>
      </c>
      <c r="I209">
        <v>0.1</v>
      </c>
      <c r="J209" s="2">
        <f>SUM(J205:J208)</f>
        <v>8.477444340594545E-05</v>
      </c>
      <c r="K209" s="2">
        <f>J209*365*H204</f>
        <v>2217661.291</v>
      </c>
    </row>
    <row r="210" spans="1:9" ht="12.75">
      <c r="A210" t="s">
        <v>333</v>
      </c>
      <c r="B210">
        <v>291550</v>
      </c>
      <c r="C210">
        <v>72</v>
      </c>
      <c r="D210">
        <v>44.5</v>
      </c>
      <c r="F210">
        <v>2.05</v>
      </c>
      <c r="G210">
        <f t="shared" si="48"/>
        <v>16492517.02</v>
      </c>
      <c r="H210" s="2">
        <f>G210/$H$204/365</f>
        <v>0.0006304587433652337</v>
      </c>
      <c r="I210">
        <v>0.1</v>
      </c>
    </row>
    <row r="211" spans="8:10" ht="12.75">
      <c r="H211" s="2"/>
      <c r="J211" s="2">
        <f>H213*I213</f>
        <v>0.00044362025841487287</v>
      </c>
    </row>
    <row r="212" ht="12.75">
      <c r="J212" s="2">
        <f>H214*I214</f>
        <v>0.0023827315358116432</v>
      </c>
    </row>
    <row r="213" spans="1:10" ht="12.75">
      <c r="A213" t="s">
        <v>334</v>
      </c>
      <c r="B213">
        <v>2064360</v>
      </c>
      <c r="C213">
        <v>82</v>
      </c>
      <c r="D213">
        <v>43</v>
      </c>
      <c r="E213">
        <v>10.2</v>
      </c>
      <c r="F213">
        <v>1.71</v>
      </c>
      <c r="G213">
        <f t="shared" si="48"/>
        <v>72540784.65600002</v>
      </c>
      <c r="H213" s="2">
        <f>G213/$H$202/365</f>
        <v>0.004436202584148729</v>
      </c>
      <c r="I213">
        <v>0.1</v>
      </c>
      <c r="J213" s="2">
        <f>H215*I215</f>
        <v>0.003565302139241684</v>
      </c>
    </row>
    <row r="214" spans="1:10" ht="12.75">
      <c r="A214" t="s">
        <v>335</v>
      </c>
      <c r="B214">
        <v>2210212</v>
      </c>
      <c r="C214">
        <v>79</v>
      </c>
      <c r="D214">
        <v>43</v>
      </c>
      <c r="F214">
        <v>2.23</v>
      </c>
      <c r="G214">
        <f t="shared" si="48"/>
        <v>90610293.19439998</v>
      </c>
      <c r="H214" s="2">
        <f>G214/$H$202/365</f>
        <v>0.0055412361297945195</v>
      </c>
      <c r="I214">
        <v>0.43</v>
      </c>
      <c r="J214" s="2">
        <f>H216*I216</f>
        <v>0.00029868240205479455</v>
      </c>
    </row>
    <row r="215" spans="1:10" ht="12.75">
      <c r="A215" t="s">
        <v>336</v>
      </c>
      <c r="B215">
        <v>6350826</v>
      </c>
      <c r="C215">
        <v>70</v>
      </c>
      <c r="D215">
        <v>20</v>
      </c>
      <c r="E215">
        <v>7.2</v>
      </c>
      <c r="G215">
        <f t="shared" si="48"/>
        <v>172996500.24000004</v>
      </c>
      <c r="H215" s="2">
        <f>G215/$H$202/365</f>
        <v>0.0105795315704501</v>
      </c>
      <c r="I215">
        <v>0.337</v>
      </c>
      <c r="J215" s="2">
        <f>H217*I217</f>
        <v>0.00010229433685053818</v>
      </c>
    </row>
    <row r="216" spans="1:11" ht="12.75">
      <c r="A216" t="s">
        <v>337</v>
      </c>
      <c r="B216">
        <v>2561388</v>
      </c>
      <c r="C216">
        <v>79</v>
      </c>
      <c r="D216">
        <v>20</v>
      </c>
      <c r="E216">
        <v>5</v>
      </c>
      <c r="G216">
        <f t="shared" si="48"/>
        <v>48840546.383999996</v>
      </c>
      <c r="H216" s="2">
        <f>G216/$H$202/365</f>
        <v>0.002986824020547945</v>
      </c>
      <c r="I216">
        <v>0.1</v>
      </c>
      <c r="J216" s="2">
        <f>SUM(J211:J215)</f>
        <v>0.006792630672373533</v>
      </c>
      <c r="K216" s="2">
        <f>J216*365*H202</f>
        <v>111073096.75465201</v>
      </c>
    </row>
    <row r="217" spans="1:9" ht="12.75">
      <c r="A217" t="s">
        <v>338</v>
      </c>
      <c r="B217">
        <v>317347</v>
      </c>
      <c r="C217">
        <v>73</v>
      </c>
      <c r="D217">
        <v>43</v>
      </c>
      <c r="F217">
        <v>1.27</v>
      </c>
      <c r="G217">
        <f t="shared" si="48"/>
        <v>16727169.961800002</v>
      </c>
      <c r="H217" s="2">
        <f>G217/$H$202/365</f>
        <v>0.0010229433685053817</v>
      </c>
      <c r="I217">
        <v>0.1</v>
      </c>
    </row>
    <row r="219" ht="12.75">
      <c r="A219" t="s">
        <v>350</v>
      </c>
    </row>
    <row r="220" spans="1:2" ht="12.75">
      <c r="A220" t="s">
        <v>347</v>
      </c>
      <c r="B220">
        <v>6525260</v>
      </c>
    </row>
    <row r="221" spans="1:2" ht="12.75">
      <c r="A221" t="s">
        <v>348</v>
      </c>
      <c r="B221">
        <v>2203372</v>
      </c>
    </row>
    <row r="222" spans="1:2" ht="12.75">
      <c r="A222" t="s">
        <v>349</v>
      </c>
      <c r="B222">
        <f>B221/B220</f>
        <v>0.337668077593843</v>
      </c>
    </row>
    <row r="228" spans="1:4" ht="12.75">
      <c r="A228" t="s">
        <v>210</v>
      </c>
      <c r="B228" t="s">
        <v>360</v>
      </c>
      <c r="C228" t="s">
        <v>357</v>
      </c>
      <c r="D228" t="s">
        <v>358</v>
      </c>
    </row>
    <row r="230" spans="1:5" ht="12.75">
      <c r="A230" t="s">
        <v>211</v>
      </c>
      <c r="B230">
        <v>0.11</v>
      </c>
      <c r="C230">
        <v>176</v>
      </c>
      <c r="D230">
        <v>0.085</v>
      </c>
      <c r="E230">
        <f aca="true" t="shared" si="49" ref="E230:E235">(C230/365)*D230</f>
        <v>0.04098630136986302</v>
      </c>
    </row>
    <row r="231" spans="1:5" ht="12.75">
      <c r="A231" t="s">
        <v>356</v>
      </c>
      <c r="B231">
        <v>0.17</v>
      </c>
      <c r="C231">
        <v>14</v>
      </c>
      <c r="D231">
        <v>0.14</v>
      </c>
      <c r="E231">
        <f t="shared" si="49"/>
        <v>0.005369863013698631</v>
      </c>
    </row>
    <row r="232" spans="1:5" ht="12.75">
      <c r="A232" t="s">
        <v>274</v>
      </c>
      <c r="B232">
        <v>1.08</v>
      </c>
      <c r="C232">
        <v>56</v>
      </c>
      <c r="D232">
        <v>0.625</v>
      </c>
      <c r="E232">
        <f t="shared" si="49"/>
        <v>0.09589041095890412</v>
      </c>
    </row>
    <row r="233" spans="1:5" ht="12.75">
      <c r="A233" t="s">
        <v>359</v>
      </c>
      <c r="B233">
        <v>0.83</v>
      </c>
      <c r="C233">
        <v>10</v>
      </c>
      <c r="D233">
        <v>0.955</v>
      </c>
      <c r="E233">
        <f t="shared" si="49"/>
        <v>0.02616438356164383</v>
      </c>
    </row>
    <row r="234" spans="1:5" ht="12.75">
      <c r="A234" t="s">
        <v>283</v>
      </c>
      <c r="B234">
        <v>0.09</v>
      </c>
      <c r="C234">
        <v>95</v>
      </c>
      <c r="D234">
        <v>0.46</v>
      </c>
      <c r="E234">
        <f t="shared" si="49"/>
        <v>0.11972602739726028</v>
      </c>
    </row>
    <row r="235" spans="1:5" ht="12.75">
      <c r="A235" t="s">
        <v>276</v>
      </c>
      <c r="B235">
        <v>0.06</v>
      </c>
      <c r="C235">
        <v>14</v>
      </c>
      <c r="D235">
        <v>0.75</v>
      </c>
      <c r="E235">
        <f t="shared" si="49"/>
        <v>0.028767123287671233</v>
      </c>
    </row>
    <row r="236" spans="3:5" ht="12.75">
      <c r="C236">
        <f>SUM(C230:C235)</f>
        <v>365</v>
      </c>
      <c r="E236">
        <f>SUM(E230:E235)</f>
        <v>0.3169041095890411</v>
      </c>
    </row>
    <row r="239" spans="1:5" ht="12.75">
      <c r="A239" t="s">
        <v>210</v>
      </c>
      <c r="B239" t="s">
        <v>361</v>
      </c>
      <c r="C239" t="s">
        <v>357</v>
      </c>
      <c r="D239" t="s">
        <v>358</v>
      </c>
      <c r="E239" t="s">
        <v>362</v>
      </c>
    </row>
    <row r="241" spans="1:5" ht="12.75">
      <c r="A241" t="s">
        <v>211</v>
      </c>
      <c r="B241">
        <v>2.24</v>
      </c>
      <c r="C241">
        <v>176</v>
      </c>
      <c r="D241">
        <f>(B245+B241)/2</f>
        <v>-2.2199999999999998</v>
      </c>
      <c r="E241">
        <f>(C241/365)*D241</f>
        <v>-1.0704657534246576</v>
      </c>
    </row>
    <row r="242" spans="1:5" ht="12.75">
      <c r="A242" t="s">
        <v>274</v>
      </c>
      <c r="B242">
        <v>12.7</v>
      </c>
      <c r="C242">
        <v>70</v>
      </c>
      <c r="D242">
        <f>(B241+B242)/2</f>
        <v>7.47</v>
      </c>
      <c r="E242">
        <f>(C242/365)*D242</f>
        <v>1.4326027397260273</v>
      </c>
    </row>
    <row r="243" spans="1:5" ht="12.75">
      <c r="A243" t="s">
        <v>359</v>
      </c>
      <c r="B243">
        <v>17.2</v>
      </c>
      <c r="C243">
        <v>10</v>
      </c>
      <c r="D243">
        <f>(B242+B243)/2</f>
        <v>14.95</v>
      </c>
      <c r="E243">
        <f>(C243/365)*D243</f>
        <v>0.4095890410958904</v>
      </c>
    </row>
    <row r="244" spans="1:5" ht="12.75">
      <c r="A244" t="s">
        <v>283</v>
      </c>
      <c r="B244">
        <v>-0.56</v>
      </c>
      <c r="C244">
        <v>95</v>
      </c>
      <c r="D244">
        <f>(B243+B244)/2</f>
        <v>8.32</v>
      </c>
      <c r="E244">
        <f>(C244/365)*D244</f>
        <v>2.1654794520547944</v>
      </c>
    </row>
    <row r="245" spans="1:5" ht="12.75">
      <c r="A245" t="s">
        <v>276</v>
      </c>
      <c r="B245">
        <v>-6.68</v>
      </c>
      <c r="C245">
        <v>14</v>
      </c>
      <c r="D245">
        <f>(B244+B245)/2</f>
        <v>-3.62</v>
      </c>
      <c r="E245">
        <f>(C245/365)*D245</f>
        <v>-0.13884931506849316</v>
      </c>
    </row>
    <row r="247" spans="3:5" ht="12.75">
      <c r="C247">
        <f>SUM(C241:C246)</f>
        <v>365</v>
      </c>
      <c r="E247">
        <f>SUM(E241:E246)</f>
        <v>2.7983561643835615</v>
      </c>
    </row>
    <row r="250" spans="1:5" ht="12.75">
      <c r="A250" t="s">
        <v>210</v>
      </c>
      <c r="B250" t="s">
        <v>363</v>
      </c>
      <c r="C250" t="s">
        <v>357</v>
      </c>
      <c r="D250" t="s">
        <v>358</v>
      </c>
      <c r="E250" t="s">
        <v>362</v>
      </c>
    </row>
    <row r="252" spans="1:5" ht="12.75">
      <c r="A252" t="s">
        <v>211</v>
      </c>
      <c r="B252">
        <v>14.4</v>
      </c>
      <c r="C252">
        <v>176</v>
      </c>
      <c r="D252">
        <f>(B256+B252)/2</f>
        <v>3.8600000000000003</v>
      </c>
      <c r="E252">
        <f>(C252/365)*D252</f>
        <v>1.861260273972603</v>
      </c>
    </row>
    <row r="253" spans="1:5" ht="12.75">
      <c r="A253" t="s">
        <v>274</v>
      </c>
      <c r="B253">
        <v>6</v>
      </c>
      <c r="C253">
        <v>70</v>
      </c>
      <c r="D253">
        <f>(B252+B253)/2</f>
        <v>10.2</v>
      </c>
      <c r="E253">
        <f>(C253/365)*D253</f>
        <v>1.9561643835616436</v>
      </c>
    </row>
    <row r="254" spans="1:5" ht="12.75">
      <c r="A254" t="s">
        <v>359</v>
      </c>
      <c r="B254">
        <v>6.3</v>
      </c>
      <c r="C254">
        <v>10</v>
      </c>
      <c r="D254">
        <f>(B253+B254)/2</f>
        <v>6.15</v>
      </c>
      <c r="E254">
        <f>(C254/365)*D254</f>
        <v>0.1684931506849315</v>
      </c>
    </row>
    <row r="255" spans="1:5" ht="12.75">
      <c r="A255" t="s">
        <v>283</v>
      </c>
      <c r="B255">
        <v>-0.56</v>
      </c>
      <c r="C255">
        <v>95</v>
      </c>
      <c r="D255">
        <f>(B254+B255)/2</f>
        <v>2.87</v>
      </c>
      <c r="E255">
        <f>(C255/365)*D255</f>
        <v>0.746986301369863</v>
      </c>
    </row>
    <row r="256" spans="1:5" ht="12.75">
      <c r="A256" t="s">
        <v>276</v>
      </c>
      <c r="B256">
        <v>-6.68</v>
      </c>
      <c r="C256">
        <v>14</v>
      </c>
      <c r="D256">
        <f>(B255+B256)/2</f>
        <v>-3.62</v>
      </c>
      <c r="E256">
        <f>(C256/365)*D256</f>
        <v>-0.13884931506849316</v>
      </c>
    </row>
    <row r="258" spans="3:5" ht="12.75">
      <c r="C258">
        <f>SUM(C252:C257)</f>
        <v>365</v>
      </c>
      <c r="E258">
        <f>SUM(E252:E257)</f>
        <v>4.594054794520548</v>
      </c>
    </row>
    <row r="261" spans="1:5" ht="12.75">
      <c r="A261" t="s">
        <v>210</v>
      </c>
      <c r="B261" t="s">
        <v>364</v>
      </c>
      <c r="C261" t="s">
        <v>357</v>
      </c>
      <c r="D261" t="s">
        <v>358</v>
      </c>
      <c r="E261" t="s">
        <v>362</v>
      </c>
    </row>
    <row r="263" spans="1:5" ht="12.75">
      <c r="A263" t="s">
        <v>211</v>
      </c>
      <c r="B263">
        <v>16.5</v>
      </c>
      <c r="C263">
        <v>176</v>
      </c>
      <c r="D263">
        <f>(B267+B263)/2</f>
        <v>7.6899999999999995</v>
      </c>
      <c r="E263">
        <f>(C263/365)*D263</f>
        <v>3.7080547945205478</v>
      </c>
    </row>
    <row r="264" spans="1:5" ht="12.75">
      <c r="A264" t="s">
        <v>274</v>
      </c>
      <c r="B264">
        <v>19.4</v>
      </c>
      <c r="C264">
        <v>70</v>
      </c>
      <c r="D264">
        <f>(B263+B264)/2</f>
        <v>17.95</v>
      </c>
      <c r="E264">
        <f>(C264/365)*D264</f>
        <v>3.442465753424657</v>
      </c>
    </row>
    <row r="265" spans="1:5" ht="12.75">
      <c r="A265" t="s">
        <v>359</v>
      </c>
      <c r="B265">
        <v>24.3</v>
      </c>
      <c r="C265">
        <v>10</v>
      </c>
      <c r="D265">
        <f>(B264+B265)/2</f>
        <v>21.85</v>
      </c>
      <c r="E265">
        <f>(C265/365)*D265</f>
        <v>0.5986301369863014</v>
      </c>
    </row>
    <row r="266" spans="1:5" ht="12.75">
      <c r="A266" t="s">
        <v>365</v>
      </c>
      <c r="B266">
        <v>-48.3</v>
      </c>
      <c r="C266">
        <v>95</v>
      </c>
      <c r="D266">
        <f>(B265+0)/2</f>
        <v>12.15</v>
      </c>
      <c r="E266">
        <f>(C266/365)*D266</f>
        <v>3.1623287671232876</v>
      </c>
    </row>
    <row r="267" spans="1:5" ht="12.75">
      <c r="A267" t="s">
        <v>276</v>
      </c>
      <c r="B267">
        <v>-1.12</v>
      </c>
      <c r="C267">
        <v>14</v>
      </c>
      <c r="D267">
        <f>(B266+B267)/2</f>
        <v>-24.709999999999997</v>
      </c>
      <c r="E267">
        <f>(C267/365)*D267</f>
        <v>-0.9477808219178082</v>
      </c>
    </row>
    <row r="269" spans="3:5" ht="12.75">
      <c r="C269">
        <f>SUM(C263:C268)</f>
        <v>365</v>
      </c>
      <c r="E269">
        <f>SUM(E263:E268)</f>
        <v>9.963698630136985</v>
      </c>
    </row>
    <row r="272" spans="1:5" ht="12.75">
      <c r="A272" t="s">
        <v>210</v>
      </c>
      <c r="B272" t="s">
        <v>363</v>
      </c>
      <c r="C272" t="s">
        <v>357</v>
      </c>
      <c r="D272" t="s">
        <v>358</v>
      </c>
      <c r="E272" t="s">
        <v>371</v>
      </c>
    </row>
    <row r="274" spans="1:5" ht="12.75">
      <c r="A274" t="s">
        <v>211</v>
      </c>
      <c r="B274">
        <v>80.5</v>
      </c>
      <c r="C274">
        <v>176</v>
      </c>
      <c r="D274">
        <f>(B278+B274)/2</f>
        <v>93.66</v>
      </c>
      <c r="E274">
        <f>(C274/365)*D274</f>
        <v>45.16208219178082</v>
      </c>
    </row>
    <row r="275" spans="1:5" ht="12.75">
      <c r="A275" t="s">
        <v>274</v>
      </c>
      <c r="B275">
        <v>25.9</v>
      </c>
      <c r="C275">
        <v>70</v>
      </c>
      <c r="D275">
        <f>(B274+B275)/2</f>
        <v>53.2</v>
      </c>
      <c r="E275">
        <f>(C275/365)*D275</f>
        <v>10.202739726027398</v>
      </c>
    </row>
    <row r="276" spans="1:5" ht="12.75">
      <c r="A276" t="s">
        <v>359</v>
      </c>
      <c r="B276">
        <v>25.9</v>
      </c>
      <c r="C276">
        <v>10</v>
      </c>
      <c r="D276">
        <f>(B275+B276)/2</f>
        <v>25.9</v>
      </c>
      <c r="E276">
        <f>(C276/365)*D276</f>
        <v>0.7095890410958904</v>
      </c>
    </row>
    <row r="277" spans="1:5" ht="12.75">
      <c r="A277" t="s">
        <v>365</v>
      </c>
      <c r="B277">
        <v>19.6</v>
      </c>
      <c r="C277">
        <v>95</v>
      </c>
      <c r="D277">
        <f>(B276+B277)/2</f>
        <v>22.75</v>
      </c>
      <c r="E277">
        <f>(C277/365)*D277</f>
        <v>5.921232876712328</v>
      </c>
    </row>
    <row r="278" spans="1:5" ht="12.75">
      <c r="A278" t="s">
        <v>276</v>
      </c>
      <c r="B278">
        <v>106.82</v>
      </c>
      <c r="C278">
        <v>14</v>
      </c>
      <c r="D278">
        <f>(B277+B278)/2</f>
        <v>63.209999999999994</v>
      </c>
      <c r="E278">
        <f>(C278/365)*D278</f>
        <v>2.424493150684931</v>
      </c>
    </row>
    <row r="280" spans="3:7" ht="12.75">
      <c r="C280">
        <f>SUM(C274:C279)</f>
        <v>365</v>
      </c>
      <c r="E280">
        <f>SUM(E274:E279)</f>
        <v>64.42013698630137</v>
      </c>
      <c r="G280">
        <f>E280*540000000*1.934/1000</f>
        <v>67277814.26301369</v>
      </c>
    </row>
    <row r="282" ht="12.75">
      <c r="D282" t="s">
        <v>284</v>
      </c>
    </row>
    <row r="283" spans="1:4" ht="12.75">
      <c r="A283" t="s">
        <v>210</v>
      </c>
      <c r="D283" t="s">
        <v>374</v>
      </c>
    </row>
    <row r="284" spans="2:6" ht="12.75">
      <c r="B284" t="s">
        <v>368</v>
      </c>
      <c r="C284" t="s">
        <v>366</v>
      </c>
      <c r="D284" t="s">
        <v>367</v>
      </c>
      <c r="E284" t="s">
        <v>369</v>
      </c>
      <c r="F284" t="s">
        <v>370</v>
      </c>
    </row>
    <row r="285" spans="1:6" ht="12.75">
      <c r="A285" t="s">
        <v>211</v>
      </c>
      <c r="B285">
        <v>5.75</v>
      </c>
      <c r="C285">
        <v>0.017</v>
      </c>
      <c r="D285">
        <v>1.55</v>
      </c>
      <c r="E285">
        <f>B285*14+C285*14+D285*14</f>
        <v>102.438</v>
      </c>
      <c r="F285">
        <f>(B285/1000000)*62*1000*14/62*1000</f>
        <v>80.49999999999999</v>
      </c>
    </row>
    <row r="286" spans="1:6" ht="12.75">
      <c r="A286" t="s">
        <v>274</v>
      </c>
      <c r="B286">
        <v>1.85</v>
      </c>
      <c r="C286">
        <v>0.1</v>
      </c>
      <c r="D286">
        <v>2.72</v>
      </c>
      <c r="E286">
        <f>B286*14+C286*14+D286*14</f>
        <v>65.38000000000001</v>
      </c>
      <c r="F286">
        <f>(B286/1000000)*62*1000*14/62*1000</f>
        <v>25.900000000000002</v>
      </c>
    </row>
    <row r="287" spans="1:6" ht="12.75">
      <c r="A287" t="s">
        <v>359</v>
      </c>
      <c r="B287">
        <v>1.85</v>
      </c>
      <c r="C287">
        <v>0.22</v>
      </c>
      <c r="D287">
        <v>3.41</v>
      </c>
      <c r="E287">
        <f>B287*14+C287*14+D287*14</f>
        <v>76.72</v>
      </c>
      <c r="F287">
        <f>(B287/1000000)*62*1000*14/62*1000</f>
        <v>25.900000000000002</v>
      </c>
    </row>
    <row r="288" spans="1:6" ht="12.75">
      <c r="A288" t="s">
        <v>365</v>
      </c>
      <c r="B288">
        <v>1.4</v>
      </c>
      <c r="C288">
        <v>0.16</v>
      </c>
      <c r="D288">
        <v>2.19</v>
      </c>
      <c r="E288">
        <f>B288*14+C288*14+D288*14</f>
        <v>52.5</v>
      </c>
      <c r="F288">
        <f>(B288/1000000)*62*1000*14/62*1000</f>
        <v>19.599999999999998</v>
      </c>
    </row>
    <row r="289" spans="1:6" ht="12.75">
      <c r="A289" t="s">
        <v>276</v>
      </c>
      <c r="B289">
        <v>7.63</v>
      </c>
      <c r="C289">
        <v>0.38</v>
      </c>
      <c r="D289">
        <v>1.36</v>
      </c>
      <c r="E289">
        <f>B289*14+C289*14+D289*14</f>
        <v>131.17999999999998</v>
      </c>
      <c r="F289">
        <f>(B289/1000000)*62*1000*14/62*1000</f>
        <v>106.82</v>
      </c>
    </row>
    <row r="291" ht="12.75">
      <c r="D291" t="s">
        <v>374</v>
      </c>
    </row>
    <row r="292" spans="1:5" ht="12.75">
      <c r="A292" t="s">
        <v>210</v>
      </c>
      <c r="B292" t="s">
        <v>372</v>
      </c>
      <c r="C292" t="s">
        <v>357</v>
      </c>
      <c r="D292" t="s">
        <v>358</v>
      </c>
      <c r="E292" t="s">
        <v>373</v>
      </c>
    </row>
    <row r="294" spans="1:5" ht="12.75">
      <c r="A294" t="s">
        <v>211</v>
      </c>
      <c r="B294">
        <v>102.438</v>
      </c>
      <c r="C294">
        <v>176</v>
      </c>
      <c r="D294">
        <f>(B298+B294)/2</f>
        <v>116.809</v>
      </c>
      <c r="E294">
        <f>(C294/365)*D294</f>
        <v>56.3243397260274</v>
      </c>
    </row>
    <row r="295" spans="1:5" ht="12.75">
      <c r="A295" t="s">
        <v>274</v>
      </c>
      <c r="B295">
        <v>65.38</v>
      </c>
      <c r="C295">
        <v>70</v>
      </c>
      <c r="D295">
        <f>(B294+B295)/2</f>
        <v>83.90899999999999</v>
      </c>
      <c r="E295">
        <f>(C295/365)*D295</f>
        <v>16.092136986301366</v>
      </c>
    </row>
    <row r="296" spans="1:5" ht="12.75">
      <c r="A296" t="s">
        <v>359</v>
      </c>
      <c r="B296">
        <v>76.72</v>
      </c>
      <c r="C296">
        <v>10</v>
      </c>
      <c r="D296">
        <f>(B295+B296)/2</f>
        <v>71.05</v>
      </c>
      <c r="E296">
        <f>(C296/365)*D296</f>
        <v>1.9465753424657533</v>
      </c>
    </row>
    <row r="297" spans="1:5" ht="12.75">
      <c r="A297" t="s">
        <v>365</v>
      </c>
      <c r="B297">
        <v>52.5</v>
      </c>
      <c r="C297">
        <v>95</v>
      </c>
      <c r="D297">
        <f>(B296+B297)/2</f>
        <v>64.61</v>
      </c>
      <c r="E297">
        <f>(C297/365)*D297</f>
        <v>16.816301369863012</v>
      </c>
    </row>
    <row r="298" spans="1:5" ht="12.75">
      <c r="A298" t="s">
        <v>276</v>
      </c>
      <c r="B298">
        <v>131.18</v>
      </c>
      <c r="C298">
        <v>14</v>
      </c>
      <c r="D298">
        <f>(B297+B298)/2</f>
        <v>91.84</v>
      </c>
      <c r="E298">
        <f>(C298/365)*D298</f>
        <v>3.522630136986302</v>
      </c>
    </row>
    <row r="300" spans="3:8" ht="12.75">
      <c r="C300">
        <f>SUM(C294:C299)</f>
        <v>365</v>
      </c>
      <c r="E300">
        <f>SUM(E294:E299)</f>
        <v>94.70198356164383</v>
      </c>
      <c r="G300">
        <f>E300*540000000*1.934/1000</f>
        <v>98902963.55243833</v>
      </c>
      <c r="H300" t="s">
        <v>375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EPA-AED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Manager</dc:creator>
  <cp:keywords/>
  <dc:description/>
  <cp:lastModifiedBy>PC Manager</cp:lastModifiedBy>
  <cp:lastPrinted>2005-02-01T14:02:17Z</cp:lastPrinted>
  <dcterms:created xsi:type="dcterms:W3CDTF">2002-08-08T20:04:25Z</dcterms:created>
  <dcterms:modified xsi:type="dcterms:W3CDTF">2005-02-01T14:02:46Z</dcterms:modified>
  <cp:category/>
  <cp:version/>
  <cp:contentType/>
  <cp:contentStatus/>
</cp:coreProperties>
</file>