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970" windowHeight="6195" tabRatio="871" activeTab="3"/>
  </bookViews>
  <sheets>
    <sheet name="Cover Sheet" sheetId="1" r:id="rId1"/>
    <sheet name="Inputs" sheetId="2" r:id="rId2"/>
    <sheet name="Cost Calculator" sheetId="3" r:id="rId3"/>
    <sheet name="Cost Data" sheetId="4" r:id="rId4"/>
    <sheet name="Cost Graph" sheetId="5" r:id="rId5"/>
    <sheet name="Env Benefits" sheetId="6" r:id="rId6"/>
    <sheet name="Quantified Env Benefits" sheetId="7" r:id="rId7"/>
    <sheet name="Env Benefits Graph" sheetId="8" r:id="rId8"/>
    <sheet name="Env Data" sheetId="9" r:id="rId9"/>
    <sheet name="Equivalencies" sheetId="10" r:id="rId10"/>
    <sheet name="Default Cost Data" sheetId="11" r:id="rId11"/>
    <sheet name="Lookup" sheetId="12" state="hidden" r:id="rId12"/>
  </sheets>
  <definedNames>
    <definedName name="_xlnm.Print_Area" localSheetId="2">'Cost Calculator'!$A$1:$E$80</definedName>
    <definedName name="_xlnm.Print_Area" localSheetId="4">'Cost Graph'!$A$1:$L$44</definedName>
    <definedName name="_xlnm.Print_Area" localSheetId="0">'Cover Sheet'!$A$1:$I$27</definedName>
    <definedName name="_xlnm.Print_Area" localSheetId="7">'Env Benefits Graph'!$A$1:$O$63</definedName>
    <definedName name="_xlnm.Print_Area" localSheetId="8">'Env Data'!$A$1:$T$51</definedName>
    <definedName name="_xlnm.Print_Area" localSheetId="9">'Equivalencies'!$A$1:$F$57</definedName>
    <definedName name="_xlnm.Print_Area" localSheetId="1">'Inputs'!$A$1:$B$99</definedName>
    <definedName name="_xlnm.Print_Area" localSheetId="6">'Quantified Env Benefits'!$A$1:$S$196</definedName>
    <definedName name="_xlnm.Print_Titles" localSheetId="3">'Cost Data'!$1:$4</definedName>
    <definedName name="_xlnm.Print_Titles" localSheetId="10">'Default Cost Data'!$1:$6</definedName>
  </definedNames>
  <calcPr fullCalcOnLoad="1"/>
</workbook>
</file>

<file path=xl/comments2.xml><?xml version="1.0" encoding="utf-8"?>
<comments xmlns="http://schemas.openxmlformats.org/spreadsheetml/2006/main">
  <authors>
    <author>Pete</author>
    <author>iec</author>
  </authors>
  <commentList>
    <comment ref="A22" authorId="0">
      <text>
        <r>
          <rPr>
            <sz val="8"/>
            <rFont val="Tahoma"/>
            <family val="2"/>
          </rPr>
          <t>The calculator does not use treated lumber for mulching.</t>
        </r>
      </text>
    </comment>
    <comment ref="A15" authorId="1">
      <text>
        <r>
          <rPr>
            <sz val="8"/>
            <rFont val="Tahoma"/>
            <family val="0"/>
          </rPr>
          <t>Distance to landfill for green waste is applied to all other waste streams.</t>
        </r>
      </text>
    </comment>
  </commentList>
</comments>
</file>

<file path=xl/comments3.xml><?xml version="1.0" encoding="utf-8"?>
<comments xmlns="http://schemas.openxmlformats.org/spreadsheetml/2006/main">
  <authors>
    <author>iec2</author>
  </authors>
  <commentList>
    <comment ref="A18" authorId="0">
      <text>
        <r>
          <rPr>
            <sz val="8"/>
            <rFont val="Tahoma"/>
            <family val="2"/>
          </rPr>
          <t>If you cannot recycle a material, it is assumed to be landfilled at the national average tipping fee.</t>
        </r>
      </text>
    </comment>
    <comment ref="A11" authorId="0">
      <text>
        <r>
          <rPr>
            <sz val="8"/>
            <rFont val="Tahoma"/>
            <family val="2"/>
          </rPr>
          <t>If you do not have a crusher and you will not reuse at least 10,000 tons of concrete and asphalt in the next ten years, the calculator assumes that you are not reusing concrete and asphalt because it will not be cost efficient to purchase a crusher.  Similarly, if it is not cost efficient for to buy a chipper to chip green waste and lumber, the calculator will assume you will not buy a chipper to make mulch on-site.</t>
        </r>
      </text>
    </comment>
    <comment ref="A34" authorId="0">
      <text>
        <r>
          <rPr>
            <sz val="8"/>
            <rFont val="Tahoma"/>
            <family val="2"/>
          </rPr>
          <t>If you do not have a crusher and you will not reuse at least 10,000 tons of concrete and asphalt in the next ten years, the calculator assumes that you are not reusing concrete and asphalt because it will not be cost efficient to purchase a crusher.  Similarly, if it is not cost efficient for to buy a chipper to chip green waste and lumber, the calculator will assume you will not buy a chipper to make mulch on-site.</t>
        </r>
      </text>
    </comment>
    <comment ref="A57" authorId="0">
      <text>
        <r>
          <rPr>
            <sz val="8"/>
            <rFont val="Tahoma"/>
            <family val="2"/>
          </rPr>
          <t>If you cannot recycle a material, it is assumed to be landfilled at the national average tipping fee.</t>
        </r>
      </text>
    </comment>
    <comment ref="A6" authorId="0">
      <text>
        <r>
          <rPr>
            <sz val="8"/>
            <rFont val="Tahoma"/>
            <family val="2"/>
          </rPr>
          <t>The calculator assumes that large branches and lumber will be converted to mulch, while leaves, twigs, and grass will be converted into compost.</t>
        </r>
      </text>
    </comment>
    <comment ref="A29" authorId="0">
      <text>
        <r>
          <rPr>
            <sz val="8"/>
            <rFont val="Tahoma"/>
            <family val="2"/>
          </rPr>
          <t>The calculator assumes that large branches and lumber will be converted to mulch, while leaves, twigs, and grass will be converted into compost.</t>
        </r>
      </text>
    </comment>
  </commentList>
</comments>
</file>

<file path=xl/comments7.xml><?xml version="1.0" encoding="utf-8"?>
<comments xmlns="http://schemas.openxmlformats.org/spreadsheetml/2006/main">
  <authors>
    <author>Pete</author>
    <author>iec</author>
  </authors>
  <commentList>
    <comment ref="A133" authorId="0">
      <text>
        <r>
          <rPr>
            <sz val="8"/>
            <rFont val="Tahoma"/>
            <family val="2"/>
          </rPr>
          <t>From transporatation only.  This calculator does not have data on VOC emissions from concrete production.</t>
        </r>
      </text>
    </comment>
    <comment ref="H133" authorId="0">
      <text>
        <r>
          <rPr>
            <sz val="8"/>
            <rFont val="Tahoma"/>
            <family val="2"/>
          </rPr>
          <t>From transporatation only.  This calculator does not have data on VOC emissions from concrete production.</t>
        </r>
      </text>
    </comment>
    <comment ref="O133" authorId="0">
      <text>
        <r>
          <rPr>
            <sz val="8"/>
            <rFont val="Tahoma"/>
            <family val="2"/>
          </rPr>
          <t>From transporatation only.  This calculator does not have data on VOC emissions from concrete production.</t>
        </r>
      </text>
    </comment>
    <comment ref="A177" authorId="0">
      <text>
        <r>
          <rPr>
            <sz val="8"/>
            <rFont val="Tahoma"/>
            <family val="2"/>
          </rPr>
          <t>From transporatation only.  This calculator does not have data on VOC emissions from asphalt production.</t>
        </r>
      </text>
    </comment>
    <comment ref="H177" authorId="0">
      <text>
        <r>
          <rPr>
            <sz val="8"/>
            <rFont val="Tahoma"/>
            <family val="2"/>
          </rPr>
          <t>From transporatation only.  This calculator does not have data on VOC emissions from asphalt production.</t>
        </r>
      </text>
    </comment>
    <comment ref="O177" authorId="0">
      <text>
        <r>
          <rPr>
            <sz val="8"/>
            <rFont val="Tahoma"/>
            <family val="2"/>
          </rPr>
          <t>From transporatation only.  This calculator does not have data on VOC emissions from asphalt production.</t>
        </r>
      </text>
    </comment>
    <comment ref="A87" authorId="0">
      <text>
        <r>
          <rPr>
            <sz val="8"/>
            <rFont val="Tahoma"/>
            <family val="2"/>
          </rPr>
          <t>CO2 only</t>
        </r>
      </text>
    </comment>
    <comment ref="H87" authorId="0">
      <text>
        <r>
          <rPr>
            <sz val="8"/>
            <rFont val="Tahoma"/>
            <family val="2"/>
          </rPr>
          <t>CO2 only</t>
        </r>
      </text>
    </comment>
    <comment ref="O87" authorId="0">
      <text>
        <r>
          <rPr>
            <sz val="8"/>
            <rFont val="Tahoma"/>
            <family val="2"/>
          </rPr>
          <t>CO2 only</t>
        </r>
      </text>
    </comment>
    <comment ref="A44" authorId="0">
      <text>
        <r>
          <rPr>
            <sz val="10"/>
            <rFont val="Tahoma"/>
            <family val="2"/>
          </rPr>
          <t>Includes CO2 and methane</t>
        </r>
        <r>
          <rPr>
            <sz val="8"/>
            <rFont val="Tahoma"/>
            <family val="2"/>
          </rPr>
          <t xml:space="preserve">
</t>
        </r>
      </text>
    </comment>
    <comment ref="H44" authorId="0">
      <text>
        <r>
          <rPr>
            <sz val="10"/>
            <rFont val="Tahoma"/>
            <family val="2"/>
          </rPr>
          <t>Includes CO2 and methane</t>
        </r>
      </text>
    </comment>
    <comment ref="O44" authorId="0">
      <text>
        <r>
          <rPr>
            <sz val="10"/>
            <rFont val="Tahoma"/>
            <family val="2"/>
          </rPr>
          <t>Includes CO2 and methane</t>
        </r>
      </text>
    </comment>
    <comment ref="A131" authorId="0">
      <text>
        <r>
          <rPr>
            <sz val="8"/>
            <rFont val="Tahoma"/>
            <family val="2"/>
          </rPr>
          <t>CO2 only</t>
        </r>
      </text>
    </comment>
    <comment ref="H131" authorId="0">
      <text>
        <r>
          <rPr>
            <sz val="8"/>
            <rFont val="Tahoma"/>
            <family val="2"/>
          </rPr>
          <t>CO2 only</t>
        </r>
      </text>
    </comment>
    <comment ref="A175" authorId="0">
      <text>
        <r>
          <rPr>
            <sz val="8"/>
            <rFont val="Tahoma"/>
            <family val="2"/>
          </rPr>
          <t>CO2 only</t>
        </r>
      </text>
    </comment>
    <comment ref="H175" authorId="0">
      <text>
        <r>
          <rPr>
            <sz val="8"/>
            <rFont val="Tahoma"/>
            <family val="2"/>
          </rPr>
          <t>CO2 only</t>
        </r>
      </text>
    </comment>
    <comment ref="O175" authorId="0">
      <text>
        <r>
          <rPr>
            <sz val="8"/>
            <rFont val="Tahoma"/>
            <family val="2"/>
          </rPr>
          <t>CO2 only</t>
        </r>
      </text>
    </comment>
    <comment ref="O131" authorId="1">
      <text>
        <r>
          <rPr>
            <b/>
            <sz val="8"/>
            <rFont val="Tahoma"/>
            <family val="0"/>
          </rPr>
          <t>iec:</t>
        </r>
        <r>
          <rPr>
            <sz val="8"/>
            <rFont val="Tahoma"/>
            <family val="0"/>
          </rPr>
          <t xml:space="preserve">
CO2 only
</t>
        </r>
      </text>
    </comment>
  </commentList>
</comments>
</file>

<file path=xl/comments9.xml><?xml version="1.0" encoding="utf-8"?>
<comments xmlns="http://schemas.openxmlformats.org/spreadsheetml/2006/main">
  <authors>
    <author>Pete</author>
    <author>pcourtright</author>
  </authors>
  <commentList>
    <comment ref="A14" authorId="0">
      <text>
        <r>
          <rPr>
            <sz val="8"/>
            <rFont val="Tahoma"/>
            <family val="2"/>
          </rPr>
          <t>Lumber data was converted from cubic meters to mbf (1000 board feet)</t>
        </r>
      </text>
    </comment>
    <comment ref="H9" authorId="0">
      <text>
        <r>
          <rPr>
            <sz val="8"/>
            <rFont val="Tahoma"/>
            <family val="2"/>
          </rPr>
          <t>This numbe is converted from kWh/ton to MJ/ton</t>
        </r>
      </text>
    </comment>
    <comment ref="J11" authorId="0">
      <text>
        <r>
          <rPr>
            <sz val="8"/>
            <rFont val="Tahoma"/>
            <family val="2"/>
          </rPr>
          <t>We are unable to locate a data point for water consumption in lumber production.  Some facilities spray water on the logs while other do not.</t>
        </r>
      </text>
    </comment>
    <comment ref="G6" authorId="0">
      <text>
        <r>
          <rPr>
            <sz val="8"/>
            <rFont val="Tahoma"/>
            <family val="2"/>
          </rPr>
          <t>For asphalt, concrete, and brick, only CO2 is represented in GHG.</t>
        </r>
      </text>
    </comment>
    <comment ref="G11" authorId="0">
      <text>
        <r>
          <rPr>
            <sz val="8"/>
            <rFont val="Tahoma"/>
            <family val="2"/>
          </rPr>
          <t>For lumber, GHG is in the form of total carbon emitted, 98% of which is in the form of CO2.</t>
        </r>
      </text>
    </comment>
    <comment ref="G28" authorId="0">
      <text>
        <r>
          <rPr>
            <sz val="8"/>
            <rFont val="Tahoma"/>
            <family val="2"/>
          </rPr>
          <t>This figure represents the total CO2 emitted only.</t>
        </r>
      </text>
    </comment>
    <comment ref="J9" authorId="0">
      <text>
        <r>
          <rPr>
            <sz val="8"/>
            <rFont val="Tahoma"/>
            <family val="2"/>
          </rPr>
          <t>Converted from kg to gallons.</t>
        </r>
      </text>
    </comment>
    <comment ref="C7" authorId="0">
      <text>
        <r>
          <rPr>
            <sz val="8"/>
            <rFont val="Tahoma"/>
            <family val="2"/>
          </rPr>
          <t>We are unable to locate a data point for VOC emissions in concrete and asphalt production.</t>
        </r>
      </text>
    </comment>
    <comment ref="J23" authorId="0">
      <text>
        <r>
          <rPr>
            <sz val="8"/>
            <rFont val="Tahoma"/>
            <family val="2"/>
          </rPr>
          <t>We are unable to locate a data point for water consumption in lumber production.  Some facilities spray water on the logs while other do not.</t>
        </r>
      </text>
    </comment>
    <comment ref="A24" authorId="0">
      <text>
        <r>
          <rPr>
            <sz val="8"/>
            <rFont val="Tahoma"/>
            <family val="2"/>
          </rPr>
          <t>Lumber data was converted from ounces per metric tons to kg per mbf (1000 board feet)</t>
        </r>
      </text>
    </comment>
    <comment ref="A20" authorId="1">
      <text>
        <r>
          <rPr>
            <sz val="8"/>
            <rFont val="Tahoma"/>
            <family val="2"/>
          </rPr>
          <t>Asphalt data was converted from units per metric ton to units per ton.</t>
        </r>
      </text>
    </comment>
    <comment ref="A21" authorId="1">
      <text>
        <r>
          <rPr>
            <sz val="8"/>
            <rFont val="Tahoma"/>
            <family val="2"/>
          </rPr>
          <t>Concrete data was converted from units per metric ton to units per ton.</t>
        </r>
      </text>
    </comment>
    <comment ref="I18" authorId="1">
      <text>
        <r>
          <rPr>
            <sz val="8"/>
            <rFont val="Tahoma"/>
            <family val="2"/>
          </rPr>
          <t>Hazardous Waste benefits are zeroed out because recycling coefficients were not readily available</t>
        </r>
      </text>
    </comment>
  </commentList>
</comments>
</file>

<file path=xl/sharedStrings.xml><?xml version="1.0" encoding="utf-8"?>
<sst xmlns="http://schemas.openxmlformats.org/spreadsheetml/2006/main" count="1526" uniqueCount="395">
  <si>
    <t>Sources</t>
  </si>
  <si>
    <t>Units</t>
  </si>
  <si>
    <t>Comments</t>
  </si>
  <si>
    <t>Please direct any questions or comments on this cost calculator to: Jean Schwab, U.S. EPA GreenScapes Program Manager, schwab.jean@epa.gov or 703-308-8669.</t>
  </si>
  <si>
    <t>Inflation Adjustment Table</t>
  </si>
  <si>
    <t>One Dollar in…</t>
  </si>
  <si>
    <r>
      <t>Source:</t>
    </r>
    <r>
      <rPr>
        <i/>
        <sz val="10"/>
        <color indexed="51"/>
        <rFont val="Arial"/>
        <family val="2"/>
      </rPr>
      <t xml:space="preserve"> CPI Inflation Calculator.</t>
    </r>
    <r>
      <rPr>
        <sz val="10"/>
        <color indexed="51"/>
        <rFont val="Arial"/>
        <family val="2"/>
      </rPr>
      <t xml:space="preserve"> &lt;http://data.bls.gov/cgi-bin/cpicalc.pl&gt;</t>
    </r>
  </si>
  <si>
    <t>Concrete</t>
  </si>
  <si>
    <t>Asphalt</t>
  </si>
  <si>
    <t>Brick</t>
  </si>
  <si>
    <t>Yard Waste</t>
  </si>
  <si>
    <t>$/Ton</t>
  </si>
  <si>
    <t xml:space="preserve">      Concrete</t>
  </si>
  <si>
    <t xml:space="preserve">      Asphalt</t>
  </si>
  <si>
    <t xml:space="preserve">      Brick</t>
  </si>
  <si>
    <t>Disposal Cost</t>
  </si>
  <si>
    <t>New Material Cost</t>
  </si>
  <si>
    <t xml:space="preserve">      Compost</t>
  </si>
  <si>
    <t>3 years</t>
  </si>
  <si>
    <t>6 years</t>
  </si>
  <si>
    <t>10 years</t>
  </si>
  <si>
    <t>1 year</t>
  </si>
  <si>
    <t xml:space="preserve">       Brick</t>
  </si>
  <si>
    <t xml:space="preserve">       Concrete</t>
  </si>
  <si>
    <t xml:space="preserve">       Asphalt</t>
  </si>
  <si>
    <t>Total Cost</t>
  </si>
  <si>
    <t>Cost Estimate</t>
  </si>
  <si>
    <t>$/LF</t>
  </si>
  <si>
    <t>Lumber</t>
  </si>
  <si>
    <t>Conversion Factors</t>
  </si>
  <si>
    <t>From</t>
  </si>
  <si>
    <t>To</t>
  </si>
  <si>
    <t>Tons</t>
  </si>
  <si>
    <t>Factor</t>
  </si>
  <si>
    <t>Source</t>
  </si>
  <si>
    <t>Lumber (2"x 6" Decking Boards)</t>
  </si>
  <si>
    <t>2"x 6" Wood Decking Boards</t>
  </si>
  <si>
    <t xml:space="preserve">      Lumber</t>
  </si>
  <si>
    <t>$/Brick</t>
  </si>
  <si>
    <t xml:space="preserve">       Lumber</t>
  </si>
  <si>
    <t>Yes</t>
  </si>
  <si>
    <t>Cu. Yards</t>
  </si>
  <si>
    <t>$/Cu. Yard</t>
  </si>
  <si>
    <t>Compost</t>
  </si>
  <si>
    <r>
      <t xml:space="preserve">Alexander, Ron, Tyler, Rod, and Goldstein, Nora. "Increasing Dollar Value for Compost Products." </t>
    </r>
    <r>
      <rPr>
        <u val="single"/>
        <sz val="10"/>
        <rFont val="Arial"/>
        <family val="2"/>
      </rPr>
      <t>Biocycle.</t>
    </r>
    <r>
      <rPr>
        <sz val="10"/>
        <rFont val="Arial"/>
        <family val="2"/>
      </rPr>
      <t xml:space="preserve"> Oct. 2004 &lt;</t>
    </r>
    <r>
      <rPr>
        <sz val="10"/>
        <rFont val="Arial"/>
        <family val="0"/>
      </rPr>
      <t>http://www.environmental-expert.com/resulteacharticle4.asp?cid=6042&amp;codi=4162&gt;.</t>
    </r>
  </si>
  <si>
    <t>Bricks</t>
  </si>
  <si>
    <t>Linear Feet</t>
  </si>
  <si>
    <t>On-site Asphalt and Concrete Crushing Costs</t>
  </si>
  <si>
    <t>Capital Cost</t>
  </si>
  <si>
    <t>Labor Cost</t>
  </si>
  <si>
    <t>Yard Waste to Compost</t>
  </si>
  <si>
    <t>Equipment Maintenance Cost</t>
  </si>
  <si>
    <t>No</t>
  </si>
  <si>
    <t>Crushed Surfacing</t>
  </si>
  <si>
    <t>Reuse Costs</t>
  </si>
  <si>
    <t xml:space="preserve">      Initial Cost of Crusher</t>
  </si>
  <si>
    <t xml:space="preserve">      Crushing Labor</t>
  </si>
  <si>
    <t xml:space="preserve">      Crusher Maintenance</t>
  </si>
  <si>
    <t xml:space="preserve">      Crushed Surfacing</t>
  </si>
  <si>
    <t>Do you own a crusher to crush and reuse concrete and asphalt?</t>
  </si>
  <si>
    <t>Crusher</t>
  </si>
  <si>
    <t>Concrete/Asphalt Crushers.  September, 2003. &lt;http://p2library.nfesc.navy.mil/P2_Opportunity_Handbook/7_III_6.html&gt;</t>
  </si>
  <si>
    <t>This website states that ordinary bricks cost between $300-$400 per thousand.  This range was averaged to $350 per thousand or $0.35 per brick.</t>
  </si>
  <si>
    <r>
      <t xml:space="preserve">Liu, Henry; Williams, Burkett and Haynes, Kirk.  </t>
    </r>
    <r>
      <rPr>
        <i/>
        <sz val="10"/>
        <color indexed="8"/>
        <rFont val="Arial"/>
        <family val="2"/>
      </rPr>
      <t>Improving Freezing and Thawing Properties of Fly Ash Bricks. March, 2005.</t>
    </r>
    <r>
      <rPr>
        <sz val="10"/>
        <color indexed="8"/>
        <rFont val="Arial"/>
        <family val="2"/>
      </rPr>
      <t xml:space="preserve"> &lt;http://www.flyash.info/2005/20liu.pdf&gt;.</t>
    </r>
  </si>
  <si>
    <r>
      <t xml:space="preserve">Dayton, Kevin J., State Construction Engineer, WSDOT Headquarters Construction Office.  </t>
    </r>
    <r>
      <rPr>
        <i/>
        <sz val="10"/>
        <color indexed="8"/>
        <rFont val="Arial"/>
        <family val="2"/>
      </rPr>
      <t>Construction Update.</t>
    </r>
    <r>
      <rPr>
        <sz val="10"/>
        <color indexed="8"/>
        <rFont val="Arial"/>
        <family val="2"/>
      </rPr>
      <t xml:space="preserve">  August 8, 2006. p. 1. &lt;http://www.wsdot.wa.gov/biz/Construction/CostIndex/CostIndexPdf/constructionupdatereport.pdf&gt;</t>
    </r>
  </si>
  <si>
    <t>Lumber and Plywood Estimating Price Guide.  Ace Hardware.  January 30, 2006. &lt;http://www.acehardware.net/estimate/&gt;.</t>
  </si>
  <si>
    <t>The seven price estimates divided by their corresponding linear feet are all at or very close to $0.36 per LF.</t>
  </si>
  <si>
    <t>Table 4.  Accessed on November 4, 2006. &lt;http://ntl.bts.gov/DOCS/tables2.html&gt;.</t>
  </si>
  <si>
    <t>Lumber Weight Calculator.  Accessed November 4, 2006.  &lt;http://www.csgnetwork.com/lumberweight.html&gt;.</t>
  </si>
  <si>
    <t>General Permit for Yard Waste Composting Facilities Under the South Dakota Waste Management Program. Board of Minerals and Environment. Department of Environment and Natural Resources.  October 13, 1998.  p. 6. &lt;http://www.state.sd.us/DENR/DES/WasteMgn/SWaste/COMPGEN.pdf&gt;.</t>
  </si>
  <si>
    <r>
      <t xml:space="preserve">Wilson, C.R. and Feucht, J.R. </t>
    </r>
    <r>
      <rPr>
        <i/>
        <sz val="10"/>
        <rFont val="Arial"/>
        <family val="2"/>
      </rPr>
      <t>Composting of Yard Waste.</t>
    </r>
    <r>
      <rPr>
        <sz val="10"/>
        <rFont val="Arial"/>
        <family val="2"/>
      </rPr>
      <t xml:space="preserve"> Colorado State University Coopertive Extension. October, 1997. &lt;http://www.ext.colostate.edu/PUBS/GARDEN/07212.pdf&gt;.</t>
    </r>
  </si>
  <si>
    <t>The EHS Benefits tab provides a summary of the environmental, health and safety benefits of recycling and reusing landscape waste.</t>
  </si>
  <si>
    <r>
      <t>Reduces runoff and nonpoint source pollution</t>
    </r>
    <r>
      <rPr>
        <sz val="10"/>
        <rFont val="Arial"/>
        <family val="2"/>
      </rPr>
      <t xml:space="preserve"> because compost can substitute for pesticides and fertilizers, which can produce polluted runoff.</t>
    </r>
  </si>
  <si>
    <t>Recycling Cost/Disposal Cost</t>
  </si>
  <si>
    <t xml:space="preserve">Maximum Reuse, then Recycle, Landfill Remaining Waste </t>
  </si>
  <si>
    <t>Maximum Reuse, Landfill Remaining Waste</t>
  </si>
  <si>
    <t>Landfill All Waste</t>
  </si>
  <si>
    <t>N/A</t>
  </si>
  <si>
    <t>New Material Costs</t>
  </si>
  <si>
    <t>BrickBuy</t>
  </si>
  <si>
    <t>Recycling and Reusing Hardscapes and Landscape Waste Cost Calculator</t>
  </si>
  <si>
    <t>Concrete &amp; Asphalt</t>
  </si>
  <si>
    <t>Do you plan on purchasing recycled bricks instead of new bricks for construction projects?</t>
  </si>
  <si>
    <t>How many cubic yards of compost will you use per year, on average over the next 10 years?</t>
  </si>
  <si>
    <t>Recycling and Reusing Hardscape and Landscape Waste Cost Data</t>
  </si>
  <si>
    <t>The article states that 50-75% of plant volume is reduced by composting.  This range was averaged to derive a conversion factor.</t>
  </si>
  <si>
    <t>Recycling and Reusing Hardscape and Landscape Waste Environmental, Health and Safety Benefits</t>
  </si>
  <si>
    <r>
      <t>Reduces waste/demand for landfill space</t>
    </r>
    <r>
      <rPr>
        <sz val="10"/>
        <rFont val="Arial"/>
        <family val="2"/>
      </rPr>
      <t xml:space="preserve"> because materials that would otherwise be disposed of are reused or recycled.</t>
    </r>
  </si>
  <si>
    <r>
      <t xml:space="preserve">Reuses waste materials </t>
    </r>
    <r>
      <rPr>
        <sz val="10"/>
        <rFont val="Arial"/>
        <family val="2"/>
      </rPr>
      <t>because hardscape and landscape waste is being reused directly on-site.</t>
    </r>
  </si>
  <si>
    <r>
      <t>Conserves timber</t>
    </r>
    <r>
      <rPr>
        <sz val="10"/>
        <rFont val="Arial"/>
        <family val="2"/>
      </rPr>
      <t xml:space="preserve"> because reused and recycled lumber reduces demand for virgin lumber.</t>
    </r>
  </si>
  <si>
    <r>
      <t>Conserves water</t>
    </r>
    <r>
      <rPr>
        <sz val="10"/>
        <rFont val="Arial"/>
        <family val="2"/>
      </rPr>
      <t xml:space="preserve"> because compost can improve the water retention of the soil, reducing the need for irrigation.</t>
    </r>
  </si>
  <si>
    <t>Recycling and Reusing Hardscape and Landscape Waste</t>
  </si>
  <si>
    <t>Recycling and Reusing Hardscape and Landscape Waste Cost Graph</t>
  </si>
  <si>
    <t>Recycling and Reusing Hardscape and Landscape Waste Cost Calculator</t>
  </si>
  <si>
    <r>
      <t>Conserves fossil fuels</t>
    </r>
    <r>
      <rPr>
        <sz val="10"/>
        <rFont val="Arial"/>
        <family val="2"/>
      </rPr>
      <t xml:space="preserve"> because energy needed to transport both hardscape and landscape wastes, as well as new materials, will be reduced.  Also, compost can reduce the need for chemical fertilizers, the production of which is fossil fuel intensive.</t>
    </r>
  </si>
  <si>
    <t>Based on the values that you enter in the Inputs tab, the Cost Calculator tab estimates the cost of four scenarios for handling hardscape and landscape waste: (1) reusing all waste possible on-site, then recycling all waste possible, and then disposing of the rest; (2) reusing all waste possible and disposing of the rest; (3) recycling as much of the remaining waste as possible and disposing of the rest; and (4) disposing of all materials.  If you are not generating a particular waste during a given time frame, enter "0" in the corresponding cell.  Increasing the use of compost over time may offer additional cost savings in terms of reduced fertilizer and/or pesticide use, but the calculator does not consider these potential savings.</t>
  </si>
  <si>
    <t>Average Annual Cost to Date</t>
  </si>
  <si>
    <r>
      <t>Reduces human exposure to hazardous materials or substances</t>
    </r>
    <r>
      <rPr>
        <sz val="10"/>
        <rFont val="Arial"/>
        <family val="2"/>
      </rPr>
      <t xml:space="preserve"> because compost can reduce the need for pesticides and herbicides and the associated human exposures.</t>
    </r>
  </si>
  <si>
    <r>
      <t>Improves soil quality and retards erosion</t>
    </r>
    <r>
      <rPr>
        <sz val="10"/>
        <rFont val="Arial"/>
        <family val="2"/>
      </rPr>
      <t xml:space="preserve"> because using compost improves soil quality.</t>
    </r>
  </si>
  <si>
    <r>
      <t>Improves groundwater recharge</t>
    </r>
    <r>
      <rPr>
        <sz val="10"/>
        <rFont val="Arial"/>
        <family val="2"/>
      </rPr>
      <t xml:space="preserve"> because compost increases the soil's ability to retain water.</t>
    </r>
  </si>
  <si>
    <t>In addition to the above benefits, the following benefits are associated with maximizing compost use and minimizing use of fertilizers and pesticides:</t>
  </si>
  <si>
    <r>
      <t>Reduces air pollution or improves air quality</t>
    </r>
    <r>
      <rPr>
        <sz val="10"/>
        <rFont val="Arial"/>
        <family val="2"/>
      </rPr>
      <t xml:space="preserve"> because reusing materials on-site results in fewer pollutants emitted from transporting waste materials, and methane emissions from landfills are reduced from both reuse and recycling.</t>
    </r>
  </si>
  <si>
    <t>Green Waste</t>
  </si>
  <si>
    <t>How many cubic yards of green waste are generated annually?</t>
  </si>
  <si>
    <t xml:space="preserve">       Green Waste</t>
  </si>
  <si>
    <t xml:space="preserve">      Green Waste</t>
  </si>
  <si>
    <t>How many cubic yards of mulch will you use per year, on average over the next 10 years?</t>
  </si>
  <si>
    <t xml:space="preserve">      Mulch</t>
  </si>
  <si>
    <t>Mulch</t>
  </si>
  <si>
    <t>This value was given in pounds and converted to tons by dividing by 2000.</t>
  </si>
  <si>
    <t>This value was derived by using a lumber weight calculator.  Pine was chosen to convert linear feet to tons because it is commonly used in decking.  If you are using heavier wood(s), you may want to replace this conversion factor.</t>
  </si>
  <si>
    <r>
      <t>This Cost Calculator is designed to help landscaping companies and landscape managers estimate the cost savings associated with recycling and reusing hardscapes and green waste</t>
    </r>
    <r>
      <rPr>
        <sz val="10"/>
        <rFont val="Arial"/>
        <family val="2"/>
      </rPr>
      <t>.  Green waste includes yard trimmings, leaves, plants, grass and other organic waste.  The specific hardscape materials addressed in this tool include: lumber, brick, and concrete and aspalt.   The Cost Calculator demonstrates that recycling and reusing hardscapes and landscape waste can offer significant savings compared to disposal, depending on a facility's material needs and proximity to recycling facilities.</t>
    </r>
  </si>
  <si>
    <t>Earth Products. Orange County Landfill -- Orange County, NC. Accessed December 29, 2006. &lt;http://www.co.orange.nc.us/recycling/earthproducts.asp&gt;</t>
  </si>
  <si>
    <t>Orange County landfill sells yard waste mulch for $20 per 3 cubic yards.  This price was divided by three to find the price per cubic yard.</t>
  </si>
  <si>
    <t>Green Waste Grinding Costs</t>
  </si>
  <si>
    <t>What percentage of the volume of removed lumber is pressure treated?</t>
  </si>
  <si>
    <t>Labor cost of green waste chipping/shredding</t>
  </si>
  <si>
    <t>One linear foot of 2"x6" contains .0031 cubic yards of wood.</t>
  </si>
  <si>
    <t>Maintenance of Commercial Chipper</t>
  </si>
  <si>
    <t>What percentage of the volume of green waste is wood &gt; 1" diameter?</t>
  </si>
  <si>
    <t>Do you own a large chipper ( 6"+) to chip lumber and large branches?</t>
  </si>
  <si>
    <t>$/Hour</t>
  </si>
  <si>
    <t>Time to shred/chip</t>
  </si>
  <si>
    <t>The Bear Cat 71620 sells for $7,999.</t>
  </si>
  <si>
    <t>Norwalk Power Equipment Company.  Bear Cat Commercial Chippers (Gravity Feed) 6" Capacity - Bear Cat 71620.  Accessed August 27, 2007.  &lt;https://017e702.netsolstores.com/index.asp?PageAction=VIEWPROD&amp;ProdID=1886&gt;.</t>
  </si>
  <si>
    <t>Hours/CY</t>
  </si>
  <si>
    <t>Large Chipper</t>
  </si>
  <si>
    <t xml:space="preserve">      Wood Chipping Labor</t>
  </si>
  <si>
    <t>Mulch Mule Brochure.  Accessed August 28, 2007. &lt;www.mulchmule.com/info/mulchmule2006.pdf &gt;</t>
  </si>
  <si>
    <t>$/Hour Used</t>
  </si>
  <si>
    <t xml:space="preserve">      Initial Cost of Chipper</t>
  </si>
  <si>
    <t xml:space="preserve">      Wood Chipper Maintenance</t>
  </si>
  <si>
    <t>Initial Cost of 6" Commercial Chipper</t>
  </si>
  <si>
    <t>Personal Communication with Customer Service, BearCat.  August 29, 2007</t>
  </si>
  <si>
    <t>Chipper Maintenance</t>
  </si>
  <si>
    <t>Cost</t>
  </si>
  <si>
    <t>Replacement Time (Hours)</t>
  </si>
  <si>
    <t>Blades</t>
  </si>
  <si>
    <t>Bearings</t>
  </si>
  <si>
    <t>Total</t>
  </si>
  <si>
    <t>Cost Per Hour</t>
  </si>
  <si>
    <t>The average price of gasoline in the United States was multiplied by the volume of the chipper's gas tank.</t>
  </si>
  <si>
    <t>Each bearing costs $29 and the chipper contains two bearings.</t>
  </si>
  <si>
    <t>Gasoline</t>
  </si>
  <si>
    <t>See Total Below</t>
  </si>
  <si>
    <t>$248 is the retail price for the blade replacement kit</t>
  </si>
  <si>
    <t>Bear Cat estimated that a 6" chipper can chip 100 feet per minute.  100 feet was multiplied by the amount of cubic yards in 1 foot of 2"x6" lumber.  The inverse of this figure was divided by 60 to convert to hours/CY.</t>
  </si>
  <si>
    <t>This brochure says that the industry average for mulching-related labor is $25/hour.</t>
  </si>
  <si>
    <t>Amount Saved by Mulching</t>
  </si>
  <si>
    <t>$/CY</t>
  </si>
  <si>
    <t>This is the amount saved by mulching on-site rather than buying mulch.</t>
  </si>
  <si>
    <t>Recycling and Reusing Hardscape and Landscape Waste Environmental Benefits</t>
  </si>
  <si>
    <t>Maximum Reuse, then Recycle, Landfill Remaining Waste</t>
  </si>
  <si>
    <t>Quantity Reused (lbs.)</t>
  </si>
  <si>
    <t>Quantity Recycled (lbs.)</t>
  </si>
  <si>
    <t>Quantity Landfilled (lbs.)</t>
  </si>
  <si>
    <t>Water Conserved (ga.)</t>
  </si>
  <si>
    <t>Energy Conserved</t>
  </si>
  <si>
    <t>PM Avoided</t>
  </si>
  <si>
    <t>CO</t>
  </si>
  <si>
    <t>Energy</t>
  </si>
  <si>
    <t>units</t>
  </si>
  <si>
    <t>g/ton</t>
  </si>
  <si>
    <t>MJ/ton</t>
  </si>
  <si>
    <t>VOC</t>
  </si>
  <si>
    <t>PM</t>
  </si>
  <si>
    <t>Recycling and Reusing Hardscape and Landscape Waste Environmental Coefficients</t>
  </si>
  <si>
    <t>GHG</t>
  </si>
  <si>
    <t>no</t>
  </si>
  <si>
    <t>Sources:</t>
  </si>
  <si>
    <t>1. Koroneos, C. and Dompros, A. Environmental Assessment of Brick Production in Greece. March 17, 2006.</t>
  </si>
  <si>
    <t>Lumber (Pacific Northwest)</t>
  </si>
  <si>
    <t>Lumber (Southeast)</t>
  </si>
  <si>
    <t>kg/mbf</t>
  </si>
  <si>
    <t>PM Avoided (grams)</t>
  </si>
  <si>
    <t>yes</t>
  </si>
  <si>
    <t>CO2 Avoided</t>
  </si>
  <si>
    <t>Lumber (average)</t>
  </si>
  <si>
    <t>Energy Conserved (MJ)</t>
  </si>
  <si>
    <t>CO Avoided (grams)</t>
  </si>
  <si>
    <t>How many miles does new asphalt travel to reach your site?</t>
  </si>
  <si>
    <t>How many miles does new concrete travel to reach your site?</t>
  </si>
  <si>
    <t>How many miles does new brick travel to reach your site?</t>
  </si>
  <si>
    <t>How many miles does new lumber travel to reach your site?</t>
  </si>
  <si>
    <t>How many miles does new compost and mulch travel to reach your site?</t>
  </si>
  <si>
    <t>Carbon</t>
  </si>
  <si>
    <t>Green House Gas</t>
  </si>
  <si>
    <t>US EPA - Non-CO2 Gases and Carbon Sequestration - Conversion Units.  http://www.epa.gov/nonco2/units.html. Accessed October 30, 2007.</t>
  </si>
  <si>
    <t>Kilograms</t>
  </si>
  <si>
    <t>Pounds</t>
  </si>
  <si>
    <t>Concrete Mixer</t>
  </si>
  <si>
    <t>Asphalt Tanker</t>
  </si>
  <si>
    <t>Capacity</t>
  </si>
  <si>
    <t>tons</t>
  </si>
  <si>
    <t>Brick Tractor Trailer</t>
  </si>
  <si>
    <t>Lumber Tractor Trailer</t>
  </si>
  <si>
    <t>Dump Truck</t>
  </si>
  <si>
    <t>g/mi</t>
  </si>
  <si>
    <t>Transport of Raw Materials Included?</t>
  </si>
  <si>
    <t>Transport to Disposal Included?</t>
  </si>
  <si>
    <t>Alabama Brick can place 12,000 bricks in their tractor trailers.  This number was converted into tons.</t>
  </si>
  <si>
    <t>Capacity Source</t>
  </si>
  <si>
    <t>8. Concrete Mixing Truck.  Accessed November 7, 2007.  http://www.jgtec.com.cn/english/html-en/gongcheng/hntj.htm</t>
  </si>
  <si>
    <t>HDDV Class</t>
  </si>
  <si>
    <t>8b</t>
  </si>
  <si>
    <t>Class Source</t>
  </si>
  <si>
    <t>A 50 ft tractor trailer can fit two units of 20' 6x2 lumber.  Each unit is 3040 board feet.  The per unit board footage was multiplied by two and converted into tons.</t>
  </si>
  <si>
    <t>Cubic Meters</t>
  </si>
  <si>
    <t>mbf (1000 Board Feet)</t>
  </si>
  <si>
    <t>Milota, M.; West, C.; and Hartley, I. Gate-to-Gate Life-Cycle Inventory of Softwood Lumber Production. Wood and Fiber Science, December 2005, v. 37.</t>
  </si>
  <si>
    <t>cy</t>
  </si>
  <si>
    <t>8a</t>
  </si>
  <si>
    <t>VOC Avoided (grams)</t>
  </si>
  <si>
    <t>Concrete, Asphalt &amp; Brick</t>
  </si>
  <si>
    <t>http://www.buckscontainerservices.com/conversions.htm</t>
  </si>
  <si>
    <t>General</t>
  </si>
  <si>
    <t>Cubic Yards</t>
  </si>
  <si>
    <t>Roughly how many times will you need to order lumber in the next year?</t>
  </si>
  <si>
    <t xml:space="preserve">            In the next three years?</t>
  </si>
  <si>
    <t xml:space="preserve">            In the next six years?</t>
  </si>
  <si>
    <t xml:space="preserve">            In the next ten years?</t>
  </si>
  <si>
    <t>Roughly how many times will you need to order concrete in the next year?</t>
  </si>
  <si>
    <t>Roughly how many times will you need to order asphalt in the next year?</t>
  </si>
  <si>
    <t>Roughly how many times will you remove concrete in the next year?</t>
  </si>
  <si>
    <t>Roughly how many times will you remove asphalt in the next year?</t>
  </si>
  <si>
    <t>Roughly how many times will you remove brick in the next year?</t>
  </si>
  <si>
    <t>Roughly how many times will you remove lumber in the next year?</t>
  </si>
  <si>
    <t>kg C/mbf</t>
  </si>
  <si>
    <t>We use these coefficients to estimate impacts from transportation for delivery and disposal, and which are not included in the coefficients above.</t>
  </si>
  <si>
    <t>9. Tractor Trailor - 148,000 lbs. Denver: The Mile High City. http://www.denvergov.org/EquipmentList/SemiTractorTrailerOperator/SemiTractorTrailerOperator1/tabid/386845/Default.aspx. Accessed November 8, 2007.</t>
  </si>
  <si>
    <t>10. Dump Truck-On Road. U.S. Department of Homeland Security Federal Emergency Management Agency. http://www.nimsonline.com/resource_typing/Dump%20Truck-On%20Road.htm. Accessed November 8, 2007.</t>
  </si>
  <si>
    <t>5. Paul, Stephanie; Puspa-Dewi, Linda; Lueprasert, Kamolwan; and Madon, Heinko Dona. Asphalt Paving Operation. https://engineering.purdue.edu/CEM/People/Personal/Halpin/Sim/Examples/pave.htm. Accessed November 8, 2007.</t>
  </si>
  <si>
    <t>11. International 8300 Asphalt Tanker 1988. http://www.used-trucks-central.org/truckview.php?view=308. Accessed November 8, 2007.</t>
  </si>
  <si>
    <t>KWh</t>
  </si>
  <si>
    <t>MJ</t>
  </si>
  <si>
    <t>VOC Avoided  (grams)</t>
  </si>
  <si>
    <t>MJ/mbf</t>
  </si>
  <si>
    <t>Benefit from Avoided Production</t>
  </si>
  <si>
    <t>Benefit from Avoided Lumber Delivery</t>
  </si>
  <si>
    <t>Benefit from Avoided Brick Delivery</t>
  </si>
  <si>
    <t>Benefit from Avoided Concrete Delivery</t>
  </si>
  <si>
    <t>Benefit from Avoided Asphalt Delivery</t>
  </si>
  <si>
    <t>GHG Avoided (lbs. Of CO2 Equivalent)</t>
  </si>
  <si>
    <t>Transportation Impacts</t>
  </si>
  <si>
    <t>Notes</t>
  </si>
  <si>
    <t>2. Pavement Life-Cycle Assessment Tool for Environmental and Economic Effects (PaLATE). Consortium on Green Design and Manufacturing, University of California Berkeley.</t>
  </si>
  <si>
    <t>The source gives the capacity of a triple axle dump truck as 16-20 cy.  This range was averaged.  We assume that all disposal and off-site recycling of waste is transported by dump truck.</t>
  </si>
  <si>
    <t>The source says concrete mixers typically have a 8-12 cy capacity.  10 cy is the average of this range.  10 cubic yards was multiplied by two becasue 1 cy of concrete equals approximately 2 tons.</t>
  </si>
  <si>
    <t>Emissions were derived from EPA's MOBILE6 Vehicle Emissions Modeling Software.  The model was run for both class 8a and 8b to determine emissions in grams per mile.</t>
  </si>
  <si>
    <t>Material</t>
  </si>
  <si>
    <t>Transport to Distributor Included?</t>
  </si>
  <si>
    <t>Transport to Site (Delivery) Included?</t>
  </si>
  <si>
    <t>3; 12 for GHG</t>
  </si>
  <si>
    <t>6. Alabama Brick.  Personal Communication, November 7, 2007.</t>
  </si>
  <si>
    <t>7. Curtis Lumber.  Personal Communication, November 7, 2007.</t>
  </si>
  <si>
    <t>3. Puettman, Maureen &amp; Wilson, James. Life Cycle Analysis of Wood Products: Cradle-to-Gate LCI of Residential Wood Building Materials. Wood and Fiber Science, December 2005, V. 37. www.corrim.org/reports/2005/swst/18.pdf. Accessed September 25, 2007.</t>
  </si>
  <si>
    <t>4. Concrete in Practice: What, Why &amp; How?, CIP31 - Ordering Ready Mix Concrete. NRMCA. buildersconcrete.com/UserFiles/File/Ordering%20Ready%20Mix%20Concrete.pdf.  Accessed November 8, 2007.</t>
  </si>
  <si>
    <t>12. Milota, M.; West, C.; and Hartley, I. Gate-to-Gate Life-Cycle Inventory of Softwood Lumber Production. Wood and Fiber Science, December 2005, v. 37. www.corrim.org/reports/2005/swst/47.pdf. Accessed November 5, 2007.</t>
  </si>
  <si>
    <t>RCRA Hazardous Waste Avoided (grams)</t>
  </si>
  <si>
    <t>Environmental Benefit</t>
  </si>
  <si>
    <t>Waste Reused (lbs.)</t>
  </si>
  <si>
    <t>Waste Recycled (lbs.)</t>
  </si>
  <si>
    <t>Waste Landfilled (lbs.)</t>
  </si>
  <si>
    <t>Energy Use (MJ)</t>
  </si>
  <si>
    <t>Avoided Air Emissions</t>
  </si>
  <si>
    <t>gal./ton</t>
  </si>
  <si>
    <t>Water</t>
  </si>
  <si>
    <t>Gallons</t>
  </si>
  <si>
    <t>The Environmental Data tab presents data utilized on the environmental impacts associated with the production, use, disposal, and transportation of asphalt, concrete, bricks, and lumber.</t>
  </si>
  <si>
    <t xml:space="preserve">Haz Waste </t>
  </si>
  <si>
    <t>Water Use</t>
  </si>
  <si>
    <t>Total Env Benefit</t>
  </si>
  <si>
    <t>Lifecycle Environmental Impacts</t>
  </si>
  <si>
    <t>Transportation Impacts included in Lifecycle Environmental Impacts</t>
  </si>
  <si>
    <t>Roughly how many times will you need to order brick in the next year?</t>
  </si>
  <si>
    <t>Do you have access to a local green waste recycling facility?</t>
  </si>
  <si>
    <t>Do you have access to a local lumber recycling facility?</t>
  </si>
  <si>
    <t>Do you have access to a local brick recycling facility?</t>
  </si>
  <si>
    <t>Do you have access to a local concrete recycling facility?</t>
  </si>
  <si>
    <t>Do you have access to a local asphalt recycling facility?</t>
  </si>
  <si>
    <t>Recycle All Waste Where Facilities Exist</t>
  </si>
  <si>
    <t>How many miles is it to the nearest landfill?</t>
  </si>
  <si>
    <t>Total Recycled or Reused</t>
  </si>
  <si>
    <t>Recycling and Reusing Hardscape and Landscape Waste Environmental Benefits Graphs</t>
  </si>
  <si>
    <t>Benefit from Avoided Disposal Transportation</t>
  </si>
  <si>
    <t>Recycling and Reusing Hardscape and Landscape Waste Environmental Equivalents</t>
  </si>
  <si>
    <t>Annual Waste Avoided</t>
  </si>
  <si>
    <t>Statistic</t>
  </si>
  <si>
    <t>BTU</t>
  </si>
  <si>
    <t>The Quantified Benefits tab provides estimates of environmental impacts avoided by reusing and recycling waste instead of landfilling waste.  Although many benefits are quantified, including lifecycle benefits of avoided virgin material production, and avoided impacts from transportation, data are not available to develop a general estimate of some key benefits associated with recycling and reusing landscape waste, including reducing runoff and nonpoint source pollution and improving soil health.  To calculate your GHG emissions from alternative green waste management methods, see EPA's WARM model at: http://epa.gov/climatechange/wycd/waste/calculators/Warm_home.html</t>
  </si>
  <si>
    <t>Total Environmental Benefit</t>
  </si>
  <si>
    <t>This value is calculated by subtracting the total cost of producing a CY of mulch from the cost of purchasing a CY of mulch.  The total cost of producing a CY of mulch is equal the product of the time to chip a CY of yard waste and the sum of the hourly labor and maintenance costs.</t>
  </si>
  <si>
    <t xml:space="preserve"> </t>
  </si>
  <si>
    <t>Quantity Reused (lbs.) =</t>
  </si>
  <si>
    <t>Quantity Recycled (lbs.) =</t>
  </si>
  <si>
    <t>Quantity Landfilled (lbs.) =</t>
  </si>
  <si>
    <t>Energy Use (MJ) =</t>
  </si>
  <si>
    <t>GHG Avoided (lbs. Of CO2 Equivalent) =</t>
  </si>
  <si>
    <t>CO Avoided (grams) =</t>
  </si>
  <si>
    <t>VOC Avoided (grams) =</t>
  </si>
  <si>
    <t>PM Avoided (grams) =</t>
  </si>
  <si>
    <t>RCRA Hazardous Waste Avoided (grams) =</t>
  </si>
  <si>
    <t>Water Conserved (ga.) =</t>
  </si>
  <si>
    <t>1.  Wastes: What You Can Do - Basic Facts About Waste.  Environmental Protection Agency. http://www.epa.gov/epaoswer/osw/facts.htm</t>
  </si>
  <si>
    <t>4.  Vehicle Emissions - Transportation Air Quality Selected Facts and Figures.  EPA. January 2006. http://www.fhwa.dot.gov/environment/aqfactbk/page15.htm</t>
  </si>
  <si>
    <t>5.  EPA, Emissions Facts, http://www.epa.gov/otaq/consumer/f00013.htm</t>
  </si>
  <si>
    <t>7.  ICF Consulting, North American Trade and Transportation Corridors:  Environmental Impacts and Mitigation Strategies, Prepared for the North American Commission for Environmental Cooperation, February 2001.</t>
  </si>
  <si>
    <t>8. Clothes Washers. Energy Guide, http://www.energyguide.com/library/EnergyLibraryTopic.asp?bid=austin&amp;prd=10&amp;TID=17246&amp;SubjectID=8374</t>
  </si>
  <si>
    <t>the muncipal solid waste generated by</t>
  </si>
  <si>
    <t>the electricity used to power</t>
  </si>
  <si>
    <t>running an old coal plant for</t>
  </si>
  <si>
    <t>the water used by</t>
  </si>
  <si>
    <t>the CO emissions of driving</t>
  </si>
  <si>
    <t>the VOC emissions of driving</t>
  </si>
  <si>
    <t>the PM emissions of driving</t>
  </si>
  <si>
    <t xml:space="preserve">the amount of mercury contained in </t>
  </si>
  <si>
    <r>
      <t>fever thermometers</t>
    </r>
    <r>
      <rPr>
        <vertAlign val="superscript"/>
        <sz val="10"/>
        <rFont val="Arial"/>
        <family val="2"/>
      </rPr>
      <t>9</t>
    </r>
  </si>
  <si>
    <t>2.  Calculations and References.  US EPA.  http://www.epa.gov/solar/energy-resources/refs.html</t>
  </si>
  <si>
    <r>
      <t xml:space="preserve">passenger vehicles </t>
    </r>
    <r>
      <rPr>
        <vertAlign val="superscript"/>
        <sz val="10"/>
        <rFont val="Arial"/>
        <family val="2"/>
      </rPr>
      <t>2</t>
    </r>
  </si>
  <si>
    <t>3.  USA Quickfacts.  U.S. Census Bureau State and County Quickfacts.  http://quickfacts.census.gov/qfd/states/00000.html</t>
  </si>
  <si>
    <r>
      <t xml:space="preserve">U.S. households per day </t>
    </r>
    <r>
      <rPr>
        <vertAlign val="superscript"/>
        <sz val="10"/>
        <rFont val="Arial"/>
        <family val="2"/>
      </rPr>
      <t>1, 2, 3</t>
    </r>
  </si>
  <si>
    <r>
      <t>miles in the average car</t>
    </r>
    <r>
      <rPr>
        <vertAlign val="superscript"/>
        <sz val="10"/>
        <rFont val="Arial"/>
        <family val="2"/>
      </rPr>
      <t xml:space="preserve"> 4</t>
    </r>
  </si>
  <si>
    <r>
      <t xml:space="preserve">minutes </t>
    </r>
    <r>
      <rPr>
        <vertAlign val="superscript"/>
        <sz val="10"/>
        <rFont val="Arial"/>
        <family val="2"/>
      </rPr>
      <t>6</t>
    </r>
  </si>
  <si>
    <r>
      <t xml:space="preserve">miles in the average U.S. truck </t>
    </r>
    <r>
      <rPr>
        <vertAlign val="superscript"/>
        <sz val="10"/>
        <rFont val="Arial"/>
        <family val="2"/>
      </rPr>
      <t>7</t>
    </r>
  </si>
  <si>
    <r>
      <t xml:space="preserve">loads of laundry </t>
    </r>
    <r>
      <rPr>
        <vertAlign val="superscript"/>
        <sz val="10"/>
        <rFont val="Arial"/>
        <family val="2"/>
      </rPr>
      <t>8</t>
    </r>
  </si>
  <si>
    <t xml:space="preserve">the daily NOx emissions of </t>
  </si>
  <si>
    <t>the daily GHG emissions of</t>
  </si>
  <si>
    <r>
      <t xml:space="preserve">U.S. households per day </t>
    </r>
    <r>
      <rPr>
        <vertAlign val="superscript"/>
        <sz val="10"/>
        <rFont val="Arial"/>
        <family val="2"/>
      </rPr>
      <t>2</t>
    </r>
  </si>
  <si>
    <t>The charts below present the quantity of pollutants avoided on average, for each of the three alternative scenarios and contexual measures.</t>
  </si>
  <si>
    <r>
      <t xml:space="preserve">passenger vehicles </t>
    </r>
    <r>
      <rPr>
        <vertAlign val="superscript"/>
        <sz val="10"/>
        <rFont val="Arial"/>
        <family val="2"/>
      </rPr>
      <t>5</t>
    </r>
  </si>
  <si>
    <t>9.  Mercury Thermometer Fact Sheet. http://www.hendersoncountync.org/health/Documents/Mercury%20Thermometer%20fact%20sheet.pdf</t>
  </si>
  <si>
    <t>6. Lethal Legacy. U.S. PIRG Education Fund, 2003. http://uspirg.org/uspirg.asp?id2=11087</t>
  </si>
  <si>
    <t>Equals this many 2008 Dollars</t>
  </si>
  <si>
    <t>Customer service at Bear Cat provided estimates regarding how often each of these maintenance elements would be needed, as well as how much it would cost to replace all the blades and bearings.  This information was given on August 30, 2007.
The average price of gasoline, $2.75 per gallon, was taken from the Energy Information Administration's U.S. Retail Gas Prices.  Accessed May 23, 2008. &lt;http://www.eia.doe.gov/oil_gas/petroleum/data_publications/wrgp/mogas_home_page.html&gt;</t>
  </si>
  <si>
    <r>
      <t>SO</t>
    </r>
    <r>
      <rPr>
        <vertAlign val="subscript"/>
        <sz val="10"/>
        <rFont val="Arial"/>
        <family val="2"/>
      </rPr>
      <t>2</t>
    </r>
    <r>
      <rPr>
        <sz val="10"/>
        <rFont val="Arial"/>
        <family val="0"/>
      </rPr>
      <t xml:space="preserve"> Avoided (grams) =</t>
    </r>
  </si>
  <si>
    <r>
      <t>NO</t>
    </r>
    <r>
      <rPr>
        <vertAlign val="subscript"/>
        <sz val="10"/>
        <rFont val="Arial"/>
        <family val="2"/>
      </rPr>
      <t>x</t>
    </r>
    <r>
      <rPr>
        <sz val="10"/>
        <rFont val="Arial"/>
        <family val="0"/>
      </rPr>
      <t xml:space="preserve"> Avoided (grams) =</t>
    </r>
  </si>
  <si>
    <r>
      <t>NO</t>
    </r>
    <r>
      <rPr>
        <b/>
        <vertAlign val="subscript"/>
        <sz val="10"/>
        <color indexed="57"/>
        <rFont val="Arial"/>
        <family val="2"/>
      </rPr>
      <t>x</t>
    </r>
  </si>
  <si>
    <r>
      <t>SO</t>
    </r>
    <r>
      <rPr>
        <b/>
        <vertAlign val="subscript"/>
        <sz val="10"/>
        <color indexed="57"/>
        <rFont val="Arial"/>
        <family val="2"/>
      </rPr>
      <t>2</t>
    </r>
  </si>
  <si>
    <r>
      <t>SO</t>
    </r>
    <r>
      <rPr>
        <vertAlign val="subscript"/>
        <sz val="10"/>
        <rFont val="Arial"/>
        <family val="2"/>
      </rPr>
      <t>2</t>
    </r>
    <r>
      <rPr>
        <sz val="10"/>
        <rFont val="Arial"/>
        <family val="0"/>
      </rPr>
      <t xml:space="preserve"> Avoided (grams)</t>
    </r>
  </si>
  <si>
    <r>
      <t>CO</t>
    </r>
    <r>
      <rPr>
        <vertAlign val="subscript"/>
        <sz val="10"/>
        <rFont val="Arial"/>
        <family val="2"/>
      </rPr>
      <t>2</t>
    </r>
  </si>
  <si>
    <r>
      <t>NO</t>
    </r>
    <r>
      <rPr>
        <vertAlign val="subscript"/>
        <sz val="10"/>
        <rFont val="Arial"/>
        <family val="2"/>
      </rPr>
      <t>x</t>
    </r>
    <r>
      <rPr>
        <sz val="10"/>
        <rFont val="Arial"/>
        <family val="0"/>
      </rPr>
      <t xml:space="preserve"> Avoided (grams)</t>
    </r>
  </si>
  <si>
    <t>In which region are you located?</t>
  </si>
  <si>
    <t>Region</t>
  </si>
  <si>
    <t>Northeast</t>
  </si>
  <si>
    <t>Mid-Atlantic</t>
  </si>
  <si>
    <t>South</t>
  </si>
  <si>
    <t>Midwest</t>
  </si>
  <si>
    <t>South-Central</t>
  </si>
  <si>
    <t>West-Central</t>
  </si>
  <si>
    <t>West</t>
  </si>
  <si>
    <t>Disposal Fees</t>
  </si>
  <si>
    <t>Unit</t>
  </si>
  <si>
    <t>Source and Comment</t>
  </si>
  <si>
    <t>States</t>
  </si>
  <si>
    <r>
      <t xml:space="preserve">Repa, Edward, Ph.D (2005)  </t>
    </r>
    <r>
      <rPr>
        <i/>
        <sz val="10"/>
        <rFont val="Arial"/>
        <family val="2"/>
      </rPr>
      <t>NSWMA 2005 Tip Fee Survey</t>
    </r>
    <r>
      <rPr>
        <sz val="10"/>
        <rFont val="Arial"/>
        <family val="2"/>
      </rPr>
      <t>.  &lt;http://wastec.isproductions.net/webmodules/webarticles/articlefiles/478-Tipping%20Fee%20Bulletin%202005.pdf&gt;   
If you know your own disposal cost per ton, change the green cell to the left for your region.</t>
    </r>
  </si>
  <si>
    <t>CT, ME, MA, NH, NY, RI, VT</t>
  </si>
  <si>
    <t>DE, MD, NJ, PA, VA, WV</t>
  </si>
  <si>
    <t>AL, FL, GA, KY, MS, NC, SC, TN</t>
  </si>
  <si>
    <t>IN, IA, MI, MN, MO, OH, WI</t>
  </si>
  <si>
    <t>AZ, AR, LA, NM, OK, TX</t>
  </si>
  <si>
    <t>CO, KS, MT, NE, ND, SD, UT, WY</t>
  </si>
  <si>
    <t>CA, HI, ID, NV, OR, WA</t>
  </si>
  <si>
    <t>How many linear feet of lumber will be removed over the course of the next year?</t>
  </si>
  <si>
    <t xml:space="preserve">            Over the next three years?</t>
  </si>
  <si>
    <t xml:space="preserve">            Over the next six years?</t>
  </si>
  <si>
    <t xml:space="preserve">            Over the next ten years?</t>
  </si>
  <si>
    <t>How many linear feet of lumber will you need over the next year?</t>
  </si>
  <si>
    <t>How many bricks will you need over the next year?</t>
  </si>
  <si>
    <t>How many bricks will be removed over the next year?</t>
  </si>
  <si>
    <t>How many tons of concrete waste will be generated at your site over the next year?</t>
  </si>
  <si>
    <t>How many tons of crushed surfacing will you need over the next year?</t>
  </si>
  <si>
    <t>How many tons of asphalt waste will be generated at your site over the next year?</t>
  </si>
  <si>
    <t>Loss Rate</t>
  </si>
  <si>
    <t>Feet Usable for Reuse</t>
  </si>
  <si>
    <t>Recycling Coefficients</t>
  </si>
  <si>
    <t>13; 14 for GHG</t>
  </si>
  <si>
    <t>Metric Tons</t>
  </si>
  <si>
    <t>kg/ton</t>
  </si>
  <si>
    <t>Ounces</t>
  </si>
  <si>
    <t>Grams</t>
  </si>
  <si>
    <t>MTCE</t>
  </si>
  <si>
    <r>
      <t>MTCO</t>
    </r>
    <r>
      <rPr>
        <vertAlign val="subscript"/>
        <sz val="10"/>
        <rFont val="Arial"/>
        <family val="2"/>
      </rPr>
      <t>2</t>
    </r>
    <r>
      <rPr>
        <sz val="10"/>
        <rFont val="Arial"/>
        <family val="0"/>
      </rPr>
      <t>E</t>
    </r>
  </si>
  <si>
    <t>Difference in Recycling and Landfilling Transportation</t>
  </si>
  <si>
    <t>This value is calculated by subtracting the total cost of producing a CY of mulch from the cost of purchasing a CY of mulch.  The total cost of producing a CY of mulch is equal the product of the time to chip a CY of yard waste and the sum of the hourly l</t>
  </si>
  <si>
    <t>Recycling and Reusing Hardscape and Landscape Waste Default Cost Data</t>
  </si>
  <si>
    <t>Reference this sheet if you want to re-enter default values into the Cost Data Page</t>
  </si>
  <si>
    <t>13. Cochran, K.M. Construction and Demolition Debris Recycling: Methods, Markets, and Policty. University of Florida, 2006.</t>
  </si>
  <si>
    <t>14. WARM Model. Environmental Protection Agency.  Appendix B: Carbon Dioxide Equivalent Emission Factors</t>
  </si>
  <si>
    <t>13; 14 for GHG and energy</t>
  </si>
  <si>
    <t>Macros need to be enabled for the calculator to work properly.  Each time you run the calculator, you should save the file under a different file name to maintain a complete record.  The file name will appear at the top of each printed page.</t>
  </si>
  <si>
    <t>Bricks Usable for Reuse</t>
  </si>
  <si>
    <t>Fuel</t>
  </si>
  <si>
    <t>In the Cost Data tab, EPA provides national averages of costs associated with recycling and disposing landscape waste.  Cost data collected from sources dated before 2006 are adjusted for inflation.  If you prefer, you can substitute your own cost data into the green cells.  EPA encourages users to change the fuel cost data in cell B26 of the Cost Data tab.</t>
  </si>
  <si>
    <t>Customer service at Bear Cat provided estimates regarding how often each of these maintenance elements would be needed, as well as how much it would cost to replace all the blades and bearings.  This information was given on August 30, 2007.
The average price of fuel, $4.11 per gallon, was taken from the Energy Information Administration's U.S. Retail Gas Prices.  Accessed July 18, 2008. &lt;http://www.eia.doe.gov/oil_gas/petroleum/data_publications/wrgp/mogas_home_page.html&gt;.  To update the calculator for changing fuel prices, go to the that website, find the current price of fuel, multiply that value by 6.6, and enter the result into cell B26.</t>
  </si>
  <si>
    <t>Mulch Mule Brochure.  Accessed August 28, 2007. &lt;http://www.mulchmule.com/files/10730Literature.pdf &gt;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</si>
</sst>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
    <numFmt numFmtId="166" formatCode="000\-00\-0000"/>
    <numFmt numFmtId="167" formatCode="&quot;Yes&quot;;&quot;Yes&quot;;&quot;No&quot;"/>
    <numFmt numFmtId="168" formatCode="&quot;True&quot;;&quot;True&quot;;&quot;False&quot;"/>
    <numFmt numFmtId="169" formatCode="&quot;On&quot;;&quot;On&quot;;&quot;Off&quot;"/>
    <numFmt numFmtId="170" formatCode="&quot;$&quot;#,##0"/>
    <numFmt numFmtId="171" formatCode="0.0"/>
    <numFmt numFmtId="172" formatCode="0.00000"/>
    <numFmt numFmtId="173" formatCode="0.000"/>
    <numFmt numFmtId="174" formatCode="0.0000"/>
    <numFmt numFmtId="175" formatCode="&quot;$&quot;#,##0.000"/>
    <numFmt numFmtId="176" formatCode="&quot;$&quot;#,##0.0000000"/>
    <numFmt numFmtId="177" formatCode="0.E+00"/>
    <numFmt numFmtId="178" formatCode="#,##0.0"/>
    <numFmt numFmtId="179" formatCode="&quot;$&quot;#,##0.0000"/>
  </numFmts>
  <fonts count="34">
    <font>
      <sz val="10"/>
      <name val="Arial"/>
      <family val="0"/>
    </font>
    <font>
      <u val="single"/>
      <sz val="10"/>
      <color indexed="36"/>
      <name val="Arial"/>
      <family val="0"/>
    </font>
    <font>
      <u val="single"/>
      <sz val="10"/>
      <color indexed="12"/>
      <name val="Arial"/>
      <family val="0"/>
    </font>
    <font>
      <b/>
      <sz val="10"/>
      <name val="Arial"/>
      <family val="2"/>
    </font>
    <font>
      <i/>
      <sz val="10"/>
      <name val="Arial"/>
      <family val="2"/>
    </font>
    <font>
      <sz val="10"/>
      <name val="Wingdings"/>
      <family val="0"/>
    </font>
    <font>
      <b/>
      <sz val="10"/>
      <color indexed="17"/>
      <name val="Arial"/>
      <family val="2"/>
    </font>
    <font>
      <b/>
      <sz val="10"/>
      <color indexed="51"/>
      <name val="Arial"/>
      <family val="2"/>
    </font>
    <font>
      <sz val="10"/>
      <color indexed="17"/>
      <name val="Arial"/>
      <family val="2"/>
    </font>
    <font>
      <sz val="10"/>
      <color indexed="51"/>
      <name val="Arial"/>
      <family val="2"/>
    </font>
    <font>
      <i/>
      <sz val="10"/>
      <color indexed="51"/>
      <name val="Arial"/>
      <family val="2"/>
    </font>
    <font>
      <b/>
      <sz val="10"/>
      <color indexed="57"/>
      <name val="Arial"/>
      <family val="2"/>
    </font>
    <font>
      <u val="single"/>
      <sz val="10"/>
      <name val="Arial"/>
      <family val="2"/>
    </font>
    <font>
      <sz val="8"/>
      <name val="Tahoma"/>
      <family val="2"/>
    </font>
    <font>
      <sz val="10"/>
      <color indexed="8"/>
      <name val="Arial"/>
      <family val="2"/>
    </font>
    <font>
      <sz val="10"/>
      <color indexed="10"/>
      <name val="Arial"/>
      <family val="2"/>
    </font>
    <font>
      <sz val="11"/>
      <name val="Arial"/>
      <family val="2"/>
    </font>
    <font>
      <sz val="17.25"/>
      <name val="Arial"/>
      <family val="0"/>
    </font>
    <font>
      <sz val="18.25"/>
      <name val="Arial"/>
      <family val="0"/>
    </font>
    <font>
      <sz val="10.5"/>
      <name val="Arial"/>
      <family val="2"/>
    </font>
    <font>
      <sz val="15.75"/>
      <name val="Arial"/>
      <family val="0"/>
    </font>
    <font>
      <b/>
      <sz val="12"/>
      <name val="Arial"/>
      <family val="2"/>
    </font>
    <font>
      <i/>
      <sz val="10"/>
      <color indexed="8"/>
      <name val="Arial"/>
      <family val="2"/>
    </font>
    <font>
      <sz val="10"/>
      <name val="Tahoma"/>
      <family val="2"/>
    </font>
    <font>
      <b/>
      <sz val="8"/>
      <name val="Tahoma"/>
      <family val="0"/>
    </font>
    <font>
      <b/>
      <sz val="8"/>
      <name val="Arial"/>
      <family val="2"/>
    </font>
    <font>
      <b/>
      <sz val="9.5"/>
      <name val="Arial"/>
      <family val="2"/>
    </font>
    <font>
      <sz val="12"/>
      <name val="Arial"/>
      <family val="0"/>
    </font>
    <font>
      <sz val="8"/>
      <name val="Arial"/>
      <family val="2"/>
    </font>
    <font>
      <b/>
      <sz val="9"/>
      <name val="Arial"/>
      <family val="2"/>
    </font>
    <font>
      <sz val="11.75"/>
      <name val="Arial"/>
      <family val="0"/>
    </font>
    <font>
      <vertAlign val="superscript"/>
      <sz val="10"/>
      <name val="Arial"/>
      <family val="2"/>
    </font>
    <font>
      <vertAlign val="subscript"/>
      <sz val="10"/>
      <name val="Arial"/>
      <family val="2"/>
    </font>
    <font>
      <b/>
      <vertAlign val="subscript"/>
      <sz val="10"/>
      <color indexed="57"/>
      <name val="Arial"/>
      <family val="2"/>
    </font>
  </fonts>
  <fills count="8">
    <fill>
      <patternFill/>
    </fill>
    <fill>
      <patternFill patternType="gray125"/>
    </fill>
    <fill>
      <patternFill patternType="solid">
        <fgColor indexed="42"/>
        <bgColor indexed="64"/>
      </patternFill>
    </fill>
    <fill>
      <patternFill patternType="solid">
        <fgColor indexed="51"/>
        <bgColor indexed="64"/>
      </patternFill>
    </fill>
    <fill>
      <patternFill patternType="solid">
        <fgColor indexed="9"/>
        <bgColor indexed="64"/>
      </patternFill>
    </fill>
    <fill>
      <patternFill patternType="solid">
        <fgColor indexed="15"/>
        <bgColor indexed="64"/>
      </patternFill>
    </fill>
    <fill>
      <patternFill patternType="solid">
        <fgColor indexed="11"/>
        <bgColor indexed="64"/>
      </patternFill>
    </fill>
    <fill>
      <patternFill patternType="solid">
        <fgColor indexed="22"/>
        <bgColor indexed="64"/>
      </patternFill>
    </fill>
  </fills>
  <borders count="50">
    <border>
      <left/>
      <right/>
      <top/>
      <bottom/>
      <diagonal/>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medium"/>
      <top>
        <color indexed="63"/>
      </top>
      <bottom style="thin"/>
    </border>
    <border>
      <left style="medium"/>
      <right>
        <color indexed="63"/>
      </right>
      <top style="thin"/>
      <bottom style="thin"/>
    </border>
    <border>
      <left style="thin"/>
      <right>
        <color indexed="63"/>
      </right>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color indexed="8"/>
      </left>
      <right style="thin"/>
      <top>
        <color indexed="63"/>
      </top>
      <bottom style="thin">
        <color indexed="8"/>
      </bottom>
    </border>
    <border>
      <left style="thin">
        <color indexed="8"/>
      </left>
      <right style="thin">
        <color indexed="8"/>
      </right>
      <top style="thin">
        <color indexed="8"/>
      </top>
      <bottom style="thin"/>
    </border>
    <border>
      <left style="thin">
        <color indexed="8"/>
      </left>
      <right>
        <color indexed="63"/>
      </right>
      <top>
        <color indexed="63"/>
      </top>
      <bottom style="thin"/>
    </border>
    <border>
      <left style="thin">
        <color indexed="8"/>
      </left>
      <right style="thin"/>
      <top>
        <color indexed="63"/>
      </top>
      <bottom style="thin"/>
    </border>
    <border>
      <left style="medium"/>
      <right style="thin"/>
      <top style="thin">
        <color indexed="8"/>
      </top>
      <bottom style="thin">
        <color indexed="8"/>
      </bottom>
    </border>
    <border>
      <left style="thin">
        <color indexed="8"/>
      </left>
      <right style="thin">
        <color indexed="8"/>
      </right>
      <top style="thin"/>
      <bottom>
        <color indexed="63"/>
      </bottom>
    </border>
    <border>
      <left style="thin">
        <color indexed="8"/>
      </left>
      <right>
        <color indexed="63"/>
      </right>
      <top style="thin">
        <color indexed="8"/>
      </top>
      <bottom>
        <color indexed="63"/>
      </bottom>
    </border>
    <border>
      <left>
        <color indexed="63"/>
      </left>
      <right style="thin"/>
      <top style="medium"/>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medium"/>
      <top style="thin"/>
      <bottom style="thin"/>
    </border>
    <border>
      <left style="thin">
        <color indexed="8"/>
      </left>
      <right style="thin"/>
      <top style="thin">
        <color indexed="8"/>
      </top>
      <bottom>
        <color indexed="63"/>
      </bottom>
    </border>
    <border>
      <left style="thin">
        <color indexed="8"/>
      </left>
      <right style="medium"/>
      <top style="thin">
        <color indexed="8"/>
      </top>
      <bottom>
        <color indexed="63"/>
      </bottom>
    </border>
    <border>
      <left style="thin">
        <color indexed="8"/>
      </left>
      <right style="medium"/>
      <top>
        <color indexed="63"/>
      </top>
      <bottom>
        <color indexed="63"/>
      </bottom>
    </border>
    <border>
      <left style="thin">
        <color indexed="8"/>
      </left>
      <right style="medium"/>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57">
    <xf numFmtId="0" fontId="0" fillId="0" borderId="0" xfId="0" applyAlignment="1">
      <alignment/>
    </xf>
    <xf numFmtId="0" fontId="0" fillId="0" borderId="0" xfId="0" applyAlignment="1" applyProtection="1">
      <alignment/>
      <protection/>
    </xf>
    <xf numFmtId="0" fontId="0" fillId="0" borderId="0" xfId="0" applyBorder="1" applyAlignment="1" applyProtection="1">
      <alignment horizontal="left"/>
      <protection/>
    </xf>
    <xf numFmtId="164" fontId="0" fillId="2" borderId="1" xfId="0" applyNumberFormat="1" applyFill="1" applyBorder="1" applyAlignment="1" applyProtection="1">
      <alignment horizontal="right"/>
      <protection locked="0"/>
    </xf>
    <xf numFmtId="0" fontId="3" fillId="0" borderId="0" xfId="0" applyFont="1" applyAlignment="1" applyProtection="1">
      <alignment horizontal="left"/>
      <protection/>
    </xf>
    <xf numFmtId="0" fontId="0" fillId="0" borderId="0" xfId="0" applyAlignment="1">
      <alignment/>
    </xf>
    <xf numFmtId="0" fontId="0" fillId="0" borderId="0" xfId="0" applyBorder="1" applyAlignment="1" applyProtection="1">
      <alignment horizontal="right"/>
      <protection/>
    </xf>
    <xf numFmtId="0" fontId="0" fillId="0" borderId="0" xfId="0" applyBorder="1" applyAlignment="1" applyProtection="1">
      <alignment/>
      <protection/>
    </xf>
    <xf numFmtId="0" fontId="3" fillId="0" borderId="0" xfId="0" applyFont="1" applyBorder="1" applyAlignment="1" applyProtection="1">
      <alignment horizontal="left"/>
      <protection/>
    </xf>
    <xf numFmtId="164" fontId="0" fillId="0" borderId="0" xfId="0" applyNumberFormat="1" applyBorder="1" applyAlignment="1" applyProtection="1">
      <alignment horizontal="right"/>
      <protection/>
    </xf>
    <xf numFmtId="0" fontId="0" fillId="0" borderId="0" xfId="0" applyAlignment="1" applyProtection="1">
      <alignment wrapText="1"/>
      <protection/>
    </xf>
    <xf numFmtId="0" fontId="0" fillId="0" borderId="0" xfId="0" applyAlignment="1" applyProtection="1">
      <alignment horizontal="right"/>
      <protection/>
    </xf>
    <xf numFmtId="164" fontId="0" fillId="0" borderId="0" xfId="0" applyNumberFormat="1" applyAlignment="1" applyProtection="1">
      <alignment/>
      <protection/>
    </xf>
    <xf numFmtId="164" fontId="3" fillId="0" borderId="0" xfId="0" applyNumberFormat="1" applyFont="1" applyBorder="1" applyAlignment="1" applyProtection="1">
      <alignment horizontal="right"/>
      <protection/>
    </xf>
    <xf numFmtId="0" fontId="3" fillId="0" borderId="0" xfId="0" applyFont="1" applyBorder="1" applyAlignment="1" applyProtection="1">
      <alignment/>
      <protection/>
    </xf>
    <xf numFmtId="0" fontId="8" fillId="3" borderId="0" xfId="0" applyFont="1" applyFill="1" applyAlignment="1" applyProtection="1">
      <alignment horizontal="left"/>
      <protection/>
    </xf>
    <xf numFmtId="0" fontId="0" fillId="4" borderId="1" xfId="0" applyFill="1" applyBorder="1" applyAlignment="1" applyProtection="1">
      <alignment horizontal="center"/>
      <protection/>
    </xf>
    <xf numFmtId="0" fontId="0" fillId="2" borderId="2" xfId="0" applyFill="1" applyBorder="1" applyAlignment="1">
      <alignment horizontal="left" indent="1"/>
    </xf>
    <xf numFmtId="0" fontId="0" fillId="2" borderId="3" xfId="0" applyFill="1" applyBorder="1" applyAlignment="1">
      <alignment horizontal="left" indent="1"/>
    </xf>
    <xf numFmtId="0" fontId="0" fillId="2" borderId="0" xfId="0" applyFill="1" applyBorder="1" applyAlignment="1">
      <alignment horizontal="left" indent="1"/>
    </xf>
    <xf numFmtId="0" fontId="0" fillId="4" borderId="1" xfId="0" applyFill="1" applyBorder="1" applyAlignment="1" applyProtection="1">
      <alignment wrapText="1"/>
      <protection/>
    </xf>
    <xf numFmtId="0" fontId="0" fillId="2" borderId="4" xfId="0" applyFill="1" applyBorder="1" applyAlignment="1">
      <alignment horizontal="left" indent="1"/>
    </xf>
    <xf numFmtId="0" fontId="3" fillId="2" borderId="3" xfId="0" applyFont="1" applyFill="1" applyBorder="1" applyAlignment="1">
      <alignment horizontal="left" wrapText="1" indent="1"/>
    </xf>
    <xf numFmtId="0" fontId="0" fillId="2" borderId="0" xfId="0" applyFill="1" applyBorder="1" applyAlignment="1">
      <alignment horizontal="left" wrapText="1" indent="1"/>
    </xf>
    <xf numFmtId="0" fontId="0" fillId="2" borderId="4" xfId="0" applyFill="1" applyBorder="1" applyAlignment="1">
      <alignment horizontal="left" wrapText="1" indent="1"/>
    </xf>
    <xf numFmtId="0" fontId="5" fillId="2" borderId="3" xfId="0" applyFont="1" applyFill="1" applyBorder="1" applyAlignment="1">
      <alignment horizontal="left" wrapText="1" indent="1"/>
    </xf>
    <xf numFmtId="0" fontId="0" fillId="4" borderId="5" xfId="0" applyFill="1" applyBorder="1" applyAlignment="1" applyProtection="1">
      <alignment horizontal="right"/>
      <protection/>
    </xf>
    <xf numFmtId="0" fontId="0" fillId="4" borderId="1" xfId="0" applyFill="1" applyBorder="1" applyAlignment="1" applyProtection="1">
      <alignment horizontal="right"/>
      <protection/>
    </xf>
    <xf numFmtId="0" fontId="0" fillId="4" borderId="1" xfId="0" applyFill="1" applyBorder="1" applyAlignment="1" applyProtection="1">
      <alignment horizontal="right" wrapText="1"/>
      <protection/>
    </xf>
    <xf numFmtId="0" fontId="0" fillId="4" borderId="1" xfId="0" applyFont="1" applyFill="1" applyBorder="1" applyAlignment="1" applyProtection="1">
      <alignment wrapText="1"/>
      <protection/>
    </xf>
    <xf numFmtId="0" fontId="11" fillId="3" borderId="6" xfId="0" applyFont="1" applyFill="1" applyBorder="1" applyAlignment="1" applyProtection="1">
      <alignment horizontal="left"/>
      <protection/>
    </xf>
    <xf numFmtId="16" fontId="11" fillId="3" borderId="0" xfId="0" applyNumberFormat="1" applyFont="1" applyFill="1" applyAlignment="1" applyProtection="1">
      <alignment horizontal="left"/>
      <protection/>
    </xf>
    <xf numFmtId="2" fontId="11" fillId="3" borderId="0" xfId="0" applyNumberFormat="1" applyFont="1" applyFill="1" applyAlignment="1" applyProtection="1">
      <alignment horizontal="left" wrapText="1"/>
      <protection/>
    </xf>
    <xf numFmtId="0" fontId="11" fillId="3" borderId="0" xfId="0" applyFont="1" applyFill="1" applyAlignment="1" applyProtection="1">
      <alignment horizontal="left" wrapText="1"/>
      <protection/>
    </xf>
    <xf numFmtId="0" fontId="11" fillId="3" borderId="0" xfId="0" applyFont="1" applyFill="1" applyAlignment="1" applyProtection="1">
      <alignment/>
      <protection/>
    </xf>
    <xf numFmtId="0" fontId="11" fillId="3" borderId="0" xfId="0" applyFont="1" applyFill="1" applyBorder="1" applyAlignment="1" applyProtection="1">
      <alignment horizontal="left"/>
      <protection/>
    </xf>
    <xf numFmtId="0" fontId="0" fillId="4" borderId="5" xfId="0" applyFill="1" applyBorder="1" applyAlignment="1" applyProtection="1">
      <alignment horizontal="left"/>
      <protection/>
    </xf>
    <xf numFmtId="170" fontId="0" fillId="4" borderId="7" xfId="0" applyNumberFormat="1" applyFill="1" applyBorder="1" applyAlignment="1" applyProtection="1">
      <alignment horizontal="right"/>
      <protection/>
    </xf>
    <xf numFmtId="170" fontId="0" fillId="4" borderId="8" xfId="0" applyNumberFormat="1" applyFill="1" applyBorder="1" applyAlignment="1" applyProtection="1">
      <alignment horizontal="right"/>
      <protection/>
    </xf>
    <xf numFmtId="0" fontId="3" fillId="4" borderId="5" xfId="0" applyFont="1" applyFill="1" applyBorder="1" applyAlignment="1" applyProtection="1">
      <alignment horizontal="left"/>
      <protection/>
    </xf>
    <xf numFmtId="170" fontId="3" fillId="4" borderId="7" xfId="0" applyNumberFormat="1" applyFont="1" applyFill="1" applyBorder="1" applyAlignment="1" applyProtection="1">
      <alignment horizontal="right"/>
      <protection/>
    </xf>
    <xf numFmtId="0" fontId="7" fillId="0" borderId="0" xfId="0" applyFont="1" applyBorder="1" applyAlignment="1" applyProtection="1">
      <alignment/>
      <protection/>
    </xf>
    <xf numFmtId="0" fontId="11" fillId="3" borderId="0" xfId="0" applyFont="1" applyFill="1" applyBorder="1" applyAlignment="1" applyProtection="1">
      <alignment horizontal="right"/>
      <protection/>
    </xf>
    <xf numFmtId="0" fontId="0" fillId="2" borderId="9" xfId="0" applyFill="1" applyBorder="1" applyAlignment="1">
      <alignment horizontal="left" indent="1"/>
    </xf>
    <xf numFmtId="0" fontId="0" fillId="2" borderId="3" xfId="0" applyFill="1" applyBorder="1" applyAlignment="1">
      <alignment horizontal="left" wrapText="1" indent="1"/>
    </xf>
    <xf numFmtId="0" fontId="9" fillId="0" borderId="0" xfId="0" applyFont="1" applyAlignment="1">
      <alignment/>
    </xf>
    <xf numFmtId="0" fontId="8" fillId="3" borderId="0" xfId="0" applyFont="1" applyFill="1" applyAlignment="1" applyProtection="1">
      <alignment/>
      <protection/>
    </xf>
    <xf numFmtId="0" fontId="0" fillId="5" borderId="8" xfId="0" applyFill="1" applyBorder="1" applyAlignment="1" applyProtection="1">
      <alignment horizontal="center" shrinkToFit="1"/>
      <protection locked="0"/>
    </xf>
    <xf numFmtId="0" fontId="0" fillId="5" borderId="8" xfId="0" applyFont="1" applyFill="1" applyBorder="1" applyAlignment="1" applyProtection="1">
      <alignment horizontal="center" shrinkToFit="1"/>
      <protection locked="0"/>
    </xf>
    <xf numFmtId="0" fontId="0" fillId="4" borderId="5" xfId="0" applyFont="1" applyFill="1" applyBorder="1" applyAlignment="1" applyProtection="1">
      <alignment horizontal="left"/>
      <protection/>
    </xf>
    <xf numFmtId="0" fontId="0" fillId="4" borderId="5" xfId="0" applyFill="1" applyBorder="1" applyAlignment="1" applyProtection="1">
      <alignment horizontal="right" wrapText="1"/>
      <protection/>
    </xf>
    <xf numFmtId="16" fontId="11" fillId="3" borderId="6" xfId="0" applyNumberFormat="1" applyFont="1" applyFill="1" applyBorder="1" applyAlignment="1" applyProtection="1">
      <alignment horizontal="left" wrapText="1"/>
      <protection/>
    </xf>
    <xf numFmtId="164" fontId="0" fillId="5" borderId="10" xfId="0" applyNumberFormat="1" applyFont="1" applyFill="1" applyBorder="1" applyAlignment="1" applyProtection="1">
      <alignment horizontal="center" shrinkToFit="1"/>
      <protection locked="0"/>
    </xf>
    <xf numFmtId="170" fontId="0" fillId="4" borderId="7" xfId="0" applyNumberFormat="1" applyFont="1" applyFill="1" applyBorder="1" applyAlignment="1" applyProtection="1">
      <alignment horizontal="right"/>
      <protection/>
    </xf>
    <xf numFmtId="170" fontId="0" fillId="4" borderId="8" xfId="0" applyNumberFormat="1" applyFont="1" applyFill="1" applyBorder="1" applyAlignment="1" applyProtection="1">
      <alignment horizontal="right"/>
      <protection/>
    </xf>
    <xf numFmtId="0" fontId="3" fillId="0" borderId="0" xfId="0" applyFont="1" applyFill="1" applyBorder="1" applyAlignment="1" applyProtection="1">
      <alignment horizontal="left"/>
      <protection/>
    </xf>
    <xf numFmtId="170" fontId="3" fillId="0" borderId="0" xfId="0" applyNumberFormat="1" applyFont="1" applyFill="1" applyBorder="1" applyAlignment="1" applyProtection="1">
      <alignment horizontal="right"/>
      <protection/>
    </xf>
    <xf numFmtId="0" fontId="0" fillId="0" borderId="0" xfId="0" applyFill="1" applyBorder="1" applyAlignment="1" applyProtection="1">
      <alignment/>
      <protection/>
    </xf>
    <xf numFmtId="164" fontId="0" fillId="0" borderId="0" xfId="0" applyNumberFormat="1" applyFill="1" applyBorder="1" applyAlignment="1" applyProtection="1">
      <alignment horizontal="right"/>
      <protection/>
    </xf>
    <xf numFmtId="0" fontId="11" fillId="4" borderId="7" xfId="0" applyFont="1" applyFill="1" applyBorder="1" applyAlignment="1" applyProtection="1">
      <alignment horizontal="right"/>
      <protection/>
    </xf>
    <xf numFmtId="0" fontId="11" fillId="4" borderId="8" xfId="0" applyFont="1" applyFill="1" applyBorder="1" applyAlignment="1" applyProtection="1">
      <alignment horizontal="right"/>
      <protection/>
    </xf>
    <xf numFmtId="164" fontId="0" fillId="5" borderId="8" xfId="0" applyNumberFormat="1" applyFill="1" applyBorder="1" applyAlignment="1" applyProtection="1">
      <alignment horizontal="center" shrinkToFit="1"/>
      <protection locked="0"/>
    </xf>
    <xf numFmtId="0" fontId="11" fillId="3" borderId="0" xfId="0" applyFont="1" applyFill="1" applyBorder="1" applyAlignment="1" applyProtection="1">
      <alignment horizontal="left" wrapText="1"/>
      <protection/>
    </xf>
    <xf numFmtId="1" fontId="0" fillId="5" borderId="8" xfId="0" applyNumberFormat="1" applyFill="1" applyBorder="1" applyAlignment="1" applyProtection="1">
      <alignment horizontal="center" shrinkToFit="1"/>
      <protection locked="0"/>
    </xf>
    <xf numFmtId="170" fontId="0" fillId="2" borderId="1" xfId="0" applyNumberFormat="1" applyFill="1" applyBorder="1" applyAlignment="1" applyProtection="1">
      <alignment horizontal="right"/>
      <protection locked="0"/>
    </xf>
    <xf numFmtId="0" fontId="3"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 xfId="0" applyBorder="1" applyAlignment="1">
      <alignment/>
    </xf>
    <xf numFmtId="0" fontId="15" fillId="0" borderId="0" xfId="0" applyFont="1" applyBorder="1" applyAlignment="1" applyProtection="1">
      <alignment/>
      <protection/>
    </xf>
    <xf numFmtId="164" fontId="15" fillId="0" borderId="0" xfId="0" applyNumberFormat="1" applyFont="1" applyBorder="1" applyAlignment="1" applyProtection="1">
      <alignment horizontal="right"/>
      <protection/>
    </xf>
    <xf numFmtId="164" fontId="15" fillId="0" borderId="0" xfId="0" applyNumberFormat="1" applyFont="1" applyBorder="1" applyAlignment="1" applyProtection="1">
      <alignment horizontal="right"/>
      <protection/>
    </xf>
    <xf numFmtId="0" fontId="0" fillId="0" borderId="12" xfId="0" applyFill="1" applyBorder="1" applyAlignment="1">
      <alignment/>
    </xf>
    <xf numFmtId="0" fontId="3" fillId="0" borderId="9" xfId="0" applyFont="1" applyBorder="1" applyAlignment="1">
      <alignment/>
    </xf>
    <xf numFmtId="164" fontId="0" fillId="0" borderId="0" xfId="0" applyNumberFormat="1" applyBorder="1" applyAlignment="1" applyProtection="1">
      <alignment/>
      <protection/>
    </xf>
    <xf numFmtId="164" fontId="6" fillId="0" borderId="0" xfId="0" applyNumberFormat="1" applyFont="1" applyFill="1" applyBorder="1" applyAlignment="1" applyProtection="1">
      <alignment horizontal="right"/>
      <protection/>
    </xf>
    <xf numFmtId="164" fontId="8" fillId="0" borderId="0" xfId="0" applyNumberFormat="1" applyFont="1" applyBorder="1" applyAlignment="1" applyProtection="1">
      <alignment horizontal="right"/>
      <protection/>
    </xf>
    <xf numFmtId="164" fontId="8" fillId="0" borderId="0" xfId="0" applyNumberFormat="1" applyFont="1" applyBorder="1" applyAlignment="1" applyProtection="1">
      <alignment/>
      <protection/>
    </xf>
    <xf numFmtId="164" fontId="0" fillId="2" borderId="1" xfId="0" applyNumberFormat="1" applyFont="1" applyFill="1" applyBorder="1" applyAlignment="1" applyProtection="1">
      <alignment horizontal="right"/>
      <protection locked="0"/>
    </xf>
    <xf numFmtId="172" fontId="0" fillId="2" borderId="1" xfId="0" applyNumberFormat="1" applyFont="1" applyFill="1" applyBorder="1" applyAlignment="1" applyProtection="1">
      <alignment wrapText="1"/>
      <protection locked="0"/>
    </xf>
    <xf numFmtId="171" fontId="0" fillId="2" borderId="1" xfId="0" applyNumberFormat="1" applyFont="1" applyFill="1" applyBorder="1" applyAlignment="1" applyProtection="1">
      <alignment wrapText="1"/>
      <protection locked="0"/>
    </xf>
    <xf numFmtId="173" fontId="0" fillId="2" borderId="1" xfId="0" applyNumberFormat="1" applyFont="1" applyFill="1" applyBorder="1" applyAlignment="1" applyProtection="1">
      <alignment wrapText="1"/>
      <protection locked="0"/>
    </xf>
    <xf numFmtId="0" fontId="0" fillId="0" borderId="0" xfId="0" applyAlignment="1" applyProtection="1">
      <alignment/>
      <protection/>
    </xf>
    <xf numFmtId="0" fontId="0" fillId="4" borderId="14" xfId="0" applyFill="1" applyBorder="1" applyAlignment="1" applyProtection="1">
      <alignment horizontal="left"/>
      <protection/>
    </xf>
    <xf numFmtId="0" fontId="0" fillId="2" borderId="0" xfId="0" applyFill="1" applyAlignment="1">
      <alignment horizontal="left" wrapText="1" indent="1"/>
    </xf>
    <xf numFmtId="174" fontId="0" fillId="2" borderId="1" xfId="0" applyNumberFormat="1" applyFont="1" applyFill="1" applyBorder="1" applyAlignment="1" applyProtection="1">
      <alignment wrapText="1"/>
      <protection locked="0"/>
    </xf>
    <xf numFmtId="1" fontId="0" fillId="5" borderId="8" xfId="0" applyNumberFormat="1" applyFont="1" applyFill="1" applyBorder="1" applyAlignment="1" applyProtection="1">
      <alignment horizontal="center" shrinkToFit="1"/>
      <protection locked="0"/>
    </xf>
    <xf numFmtId="164" fontId="0" fillId="5" borderId="8" xfId="0" applyNumberFormat="1" applyFont="1" applyFill="1" applyBorder="1" applyAlignment="1" applyProtection="1">
      <alignment horizontal="center" shrinkToFit="1"/>
      <protection locked="0"/>
    </xf>
    <xf numFmtId="0" fontId="0" fillId="4" borderId="7" xfId="0" applyFont="1" applyFill="1" applyBorder="1" applyAlignment="1" applyProtection="1">
      <alignment horizontal="right"/>
      <protection/>
    </xf>
    <xf numFmtId="0" fontId="0" fillId="4" borderId="8" xfId="0" applyFont="1" applyFill="1" applyBorder="1" applyAlignment="1" applyProtection="1">
      <alignment horizontal="right"/>
      <protection/>
    </xf>
    <xf numFmtId="0" fontId="3" fillId="0" borderId="11" xfId="0" applyFont="1" applyFill="1" applyBorder="1" applyAlignment="1">
      <alignment/>
    </xf>
    <xf numFmtId="170" fontId="0" fillId="4" borderId="7" xfId="0" applyNumberFormat="1" applyFill="1" applyBorder="1" applyAlignment="1" applyProtection="1">
      <alignment horizontal="right" shrinkToFit="1"/>
      <protection/>
    </xf>
    <xf numFmtId="170" fontId="0" fillId="4" borderId="8" xfId="0" applyNumberFormat="1" applyFill="1" applyBorder="1" applyAlignment="1" applyProtection="1">
      <alignment horizontal="right" shrinkToFit="1"/>
      <protection/>
    </xf>
    <xf numFmtId="170" fontId="3" fillId="4" borderId="7" xfId="0" applyNumberFormat="1" applyFont="1" applyFill="1" applyBorder="1" applyAlignment="1" applyProtection="1">
      <alignment horizontal="right" shrinkToFit="1"/>
      <protection/>
    </xf>
    <xf numFmtId="170" fontId="3" fillId="4" borderId="8" xfId="0" applyNumberFormat="1" applyFont="1" applyFill="1" applyBorder="1" applyAlignment="1" applyProtection="1">
      <alignment horizontal="right" shrinkToFit="1"/>
      <protection/>
    </xf>
    <xf numFmtId="170" fontId="0" fillId="4" borderId="7" xfId="0" applyNumberFormat="1" applyFont="1" applyFill="1" applyBorder="1" applyAlignment="1" applyProtection="1">
      <alignment horizontal="right" shrinkToFit="1"/>
      <protection/>
    </xf>
    <xf numFmtId="170" fontId="0" fillId="4" borderId="8" xfId="0" applyNumberFormat="1" applyFont="1" applyFill="1" applyBorder="1" applyAlignment="1" applyProtection="1">
      <alignment horizontal="right" shrinkToFit="1"/>
      <protection/>
    </xf>
    <xf numFmtId="170" fontId="3" fillId="4" borderId="8" xfId="0" applyNumberFormat="1" applyFont="1" applyFill="1" applyBorder="1" applyAlignment="1" applyProtection="1">
      <alignment horizontal="right"/>
      <protection/>
    </xf>
    <xf numFmtId="0" fontId="0" fillId="0" borderId="0" xfId="0" applyFill="1" applyBorder="1" applyAlignment="1" applyProtection="1">
      <alignment horizontal="right" wrapText="1"/>
      <protection/>
    </xf>
    <xf numFmtId="0" fontId="0" fillId="0" borderId="0" xfId="0" applyFill="1" applyBorder="1" applyAlignment="1" applyProtection="1">
      <alignment wrapText="1"/>
      <protection/>
    </xf>
    <xf numFmtId="9" fontId="0" fillId="5" borderId="8" xfId="0" applyNumberFormat="1" applyFill="1" applyBorder="1" applyAlignment="1" applyProtection="1">
      <alignment horizontal="center" shrinkToFit="1"/>
      <protection locked="0"/>
    </xf>
    <xf numFmtId="1" fontId="0" fillId="0" borderId="0" xfId="0" applyNumberFormat="1" applyBorder="1" applyAlignment="1" applyProtection="1">
      <alignment horizontal="right"/>
      <protection/>
    </xf>
    <xf numFmtId="0" fontId="3" fillId="0" borderId="12" xfId="0" applyFont="1" applyFill="1" applyBorder="1" applyAlignment="1">
      <alignment/>
    </xf>
    <xf numFmtId="0" fontId="11" fillId="3" borderId="6" xfId="0" applyFont="1" applyFill="1" applyBorder="1" applyAlignment="1" applyProtection="1">
      <alignment horizontal="left" wrapText="1"/>
      <protection/>
    </xf>
    <xf numFmtId="2" fontId="0" fillId="2" borderId="1" xfId="0" applyNumberFormat="1" applyFill="1" applyBorder="1" applyAlignment="1" applyProtection="1">
      <alignment horizontal="right"/>
      <protection locked="0"/>
    </xf>
    <xf numFmtId="1" fontId="0" fillId="2" borderId="1" xfId="0" applyNumberFormat="1" applyFill="1" applyBorder="1" applyAlignment="1" applyProtection="1">
      <alignment horizontal="right"/>
      <protection locked="0"/>
    </xf>
    <xf numFmtId="0" fontId="0" fillId="0" borderId="0" xfId="0" applyFont="1" applyBorder="1" applyAlignment="1" applyProtection="1">
      <alignment/>
      <protection/>
    </xf>
    <xf numFmtId="164" fontId="0" fillId="4" borderId="1" xfId="0" applyNumberFormat="1" applyFill="1" applyBorder="1" applyAlignment="1" applyProtection="1">
      <alignment horizontal="right"/>
      <protection/>
    </xf>
    <xf numFmtId="6" fontId="0" fillId="2" borderId="1" xfId="0" applyNumberFormat="1" applyFill="1" applyBorder="1" applyAlignment="1" applyProtection="1">
      <alignment horizontal="right" wrapText="1"/>
      <protection locked="0"/>
    </xf>
    <xf numFmtId="8" fontId="0" fillId="2" borderId="1" xfId="0" applyNumberFormat="1" applyFill="1" applyBorder="1" applyAlignment="1" applyProtection="1">
      <alignment wrapText="1"/>
      <protection locked="0"/>
    </xf>
    <xf numFmtId="164" fontId="0" fillId="2" borderId="1" xfId="0" applyNumberFormat="1" applyFill="1" applyBorder="1" applyAlignment="1" applyProtection="1">
      <alignment horizontal="right" wrapText="1"/>
      <protection locked="0"/>
    </xf>
    <xf numFmtId="0" fontId="0" fillId="2" borderId="1" xfId="0" applyFill="1" applyBorder="1" applyAlignment="1" applyProtection="1">
      <alignment horizontal="right" wrapText="1"/>
      <protection locked="0"/>
    </xf>
    <xf numFmtId="0" fontId="0" fillId="0" borderId="0" xfId="0" applyAlignment="1">
      <alignment wrapText="1"/>
    </xf>
    <xf numFmtId="0" fontId="0" fillId="4" borderId="15" xfId="0" applyFont="1" applyFill="1" applyBorder="1" applyAlignment="1" applyProtection="1">
      <alignment horizontal="left"/>
      <protection/>
    </xf>
    <xf numFmtId="0" fontId="0" fillId="4" borderId="16" xfId="0" applyFill="1" applyBorder="1" applyAlignment="1" applyProtection="1">
      <alignment horizontal="left"/>
      <protection/>
    </xf>
    <xf numFmtId="0" fontId="11" fillId="3" borderId="1" xfId="0" applyFont="1" applyFill="1" applyBorder="1" applyAlignment="1">
      <alignment horizontal="center" vertical="center" wrapText="1"/>
    </xf>
    <xf numFmtId="0" fontId="11" fillId="3" borderId="5" xfId="0" applyFont="1" applyFill="1" applyBorder="1" applyAlignment="1">
      <alignment horizontal="center" vertical="center" wrapText="1"/>
    </xf>
    <xf numFmtId="11" fontId="0" fillId="4" borderId="13" xfId="0" applyNumberFormat="1" applyFill="1" applyBorder="1" applyAlignment="1">
      <alignment/>
    </xf>
    <xf numFmtId="3" fontId="0" fillId="4" borderId="17" xfId="0" applyNumberFormat="1" applyFill="1" applyBorder="1" applyAlignment="1">
      <alignment wrapText="1"/>
    </xf>
    <xf numFmtId="3" fontId="0" fillId="4" borderId="18" xfId="0" applyNumberFormat="1" applyFill="1" applyBorder="1" applyAlignment="1">
      <alignment wrapText="1"/>
    </xf>
    <xf numFmtId="177" fontId="0" fillId="4" borderId="18" xfId="0" applyNumberFormat="1" applyFill="1" applyBorder="1" applyAlignment="1">
      <alignment wrapText="1"/>
    </xf>
    <xf numFmtId="11" fontId="0" fillId="4" borderId="1" xfId="0" applyNumberFormat="1" applyFill="1" applyBorder="1" applyAlignment="1">
      <alignment/>
    </xf>
    <xf numFmtId="3" fontId="0" fillId="4" borderId="19" xfId="0" applyNumberFormat="1" applyFill="1" applyBorder="1" applyAlignment="1">
      <alignment wrapText="1"/>
    </xf>
    <xf numFmtId="3" fontId="0" fillId="4" borderId="20" xfId="0" applyNumberFormat="1" applyFill="1" applyBorder="1" applyAlignment="1" applyProtection="1">
      <alignment horizontal="right" shrinkToFit="1"/>
      <protection/>
    </xf>
    <xf numFmtId="0" fontId="0" fillId="4" borderId="5" xfId="0" applyNumberFormat="1" applyFont="1" applyFill="1" applyBorder="1" applyAlignment="1" applyProtection="1">
      <alignment horizontal="right"/>
      <protection/>
    </xf>
    <xf numFmtId="1" fontId="0" fillId="4" borderId="18" xfId="0" applyNumberFormat="1" applyFill="1" applyBorder="1" applyAlignment="1">
      <alignment wrapText="1"/>
    </xf>
    <xf numFmtId="0" fontId="0" fillId="4" borderId="5" xfId="0" applyFont="1" applyFill="1" applyBorder="1" applyAlignment="1" applyProtection="1">
      <alignment horizontal="right"/>
      <protection/>
    </xf>
    <xf numFmtId="0" fontId="0" fillId="4" borderId="19" xfId="0" applyNumberFormat="1" applyFill="1" applyBorder="1" applyAlignment="1">
      <alignment wrapText="1"/>
    </xf>
    <xf numFmtId="0" fontId="0" fillId="4" borderId="18" xfId="0" applyNumberFormat="1" applyFill="1" applyBorder="1" applyAlignment="1">
      <alignment wrapText="1"/>
    </xf>
    <xf numFmtId="0" fontId="0" fillId="4" borderId="1" xfId="0" applyFont="1" applyFill="1" applyBorder="1" applyAlignment="1">
      <alignment horizontal="right"/>
    </xf>
    <xf numFmtId="0" fontId="0" fillId="4" borderId="1" xfId="0" applyFont="1" applyFill="1" applyBorder="1" applyAlignment="1">
      <alignment horizontal="center"/>
    </xf>
    <xf numFmtId="0" fontId="0" fillId="4" borderId="5" xfId="0" applyFont="1" applyFill="1" applyBorder="1" applyAlignment="1">
      <alignment horizontal="center"/>
    </xf>
    <xf numFmtId="0" fontId="0" fillId="4" borderId="1" xfId="0" applyNumberFormat="1" applyFont="1" applyFill="1" applyBorder="1" applyAlignment="1">
      <alignment horizontal="right"/>
    </xf>
    <xf numFmtId="3" fontId="0" fillId="4" borderId="18" xfId="0" applyNumberFormat="1" applyFont="1" applyFill="1" applyBorder="1" applyAlignment="1">
      <alignment wrapText="1"/>
    </xf>
    <xf numFmtId="3" fontId="0" fillId="4" borderId="7" xfId="0" applyNumberFormat="1" applyFill="1" applyBorder="1" applyAlignment="1" applyProtection="1">
      <alignment horizontal="right" shrinkToFit="1"/>
      <protection/>
    </xf>
    <xf numFmtId="0" fontId="0" fillId="4" borderId="13" xfId="0" applyNumberFormat="1" applyFill="1" applyBorder="1" applyAlignment="1">
      <alignment horizontal="right"/>
    </xf>
    <xf numFmtId="0" fontId="0" fillId="4" borderId="1" xfId="0" applyNumberFormat="1" applyFill="1" applyBorder="1" applyAlignment="1">
      <alignment horizontal="right"/>
    </xf>
    <xf numFmtId="0" fontId="0" fillId="4" borderId="6" xfId="0" applyFill="1" applyBorder="1" applyAlignment="1" applyProtection="1">
      <alignment horizontal="left"/>
      <protection/>
    </xf>
    <xf numFmtId="3" fontId="0" fillId="4" borderId="20" xfId="0" applyNumberFormat="1" applyFont="1" applyFill="1" applyBorder="1" applyAlignment="1" applyProtection="1">
      <alignment horizontal="right"/>
      <protection/>
    </xf>
    <xf numFmtId="3" fontId="0" fillId="4" borderId="6" xfId="0" applyNumberFormat="1" applyFont="1" applyFill="1" applyBorder="1" applyAlignment="1" applyProtection="1">
      <alignment horizontal="right"/>
      <protection/>
    </xf>
    <xf numFmtId="3" fontId="0" fillId="4" borderId="8" xfId="0" applyNumberFormat="1" applyFill="1" applyBorder="1" applyAlignment="1" applyProtection="1">
      <alignment horizontal="right" shrinkToFit="1"/>
      <protection/>
    </xf>
    <xf numFmtId="3" fontId="0" fillId="4" borderId="7" xfId="0" applyNumberFormat="1" applyFont="1" applyFill="1" applyBorder="1" applyAlignment="1" applyProtection="1">
      <alignment horizontal="right"/>
      <protection/>
    </xf>
    <xf numFmtId="3" fontId="0" fillId="4" borderId="2" xfId="0" applyNumberFormat="1" applyFont="1" applyFill="1" applyBorder="1" applyAlignment="1" applyProtection="1">
      <alignment horizontal="right"/>
      <protection/>
    </xf>
    <xf numFmtId="3" fontId="0" fillId="4" borderId="8" xfId="0" applyNumberFormat="1" applyFont="1" applyFill="1" applyBorder="1" applyAlignment="1" applyProtection="1">
      <alignment horizontal="right"/>
      <protection/>
    </xf>
    <xf numFmtId="3" fontId="0" fillId="4" borderId="21" xfId="0" applyNumberFormat="1" applyFont="1" applyFill="1" applyBorder="1" applyAlignment="1" applyProtection="1">
      <alignment horizontal="right"/>
      <protection/>
    </xf>
    <xf numFmtId="3" fontId="11" fillId="3" borderId="0" xfId="0" applyNumberFormat="1" applyFont="1" applyFill="1" applyBorder="1" applyAlignment="1" applyProtection="1">
      <alignment horizontal="right"/>
      <protection/>
    </xf>
    <xf numFmtId="3" fontId="0" fillId="4" borderId="22" xfId="0" applyNumberFormat="1" applyFill="1" applyBorder="1" applyAlignment="1" applyProtection="1">
      <alignment horizontal="right" shrinkToFit="1"/>
      <protection/>
    </xf>
    <xf numFmtId="3" fontId="11" fillId="3" borderId="4" xfId="0" applyNumberFormat="1" applyFont="1" applyFill="1" applyBorder="1" applyAlignment="1" applyProtection="1">
      <alignment horizontal="right"/>
      <protection/>
    </xf>
    <xf numFmtId="3" fontId="0" fillId="4" borderId="9" xfId="0" applyNumberFormat="1" applyFont="1" applyFill="1" applyBorder="1" applyAlignment="1" applyProtection="1">
      <alignment horizontal="right"/>
      <protection/>
    </xf>
    <xf numFmtId="3" fontId="0" fillId="4" borderId="10" xfId="0" applyNumberFormat="1" applyFont="1" applyFill="1" applyBorder="1" applyAlignment="1" applyProtection="1">
      <alignment horizontal="right"/>
      <protection/>
    </xf>
    <xf numFmtId="0" fontId="11" fillId="3" borderId="4" xfId="0" applyFont="1" applyFill="1" applyBorder="1" applyAlignment="1" applyProtection="1">
      <alignment horizontal="right"/>
      <protection/>
    </xf>
    <xf numFmtId="3" fontId="0" fillId="4" borderId="21" xfId="0" applyNumberFormat="1" applyFill="1" applyBorder="1" applyAlignment="1" applyProtection="1">
      <alignment horizontal="right" shrinkToFit="1"/>
      <protection/>
    </xf>
    <xf numFmtId="0" fontId="0" fillId="4" borderId="5" xfId="0" applyFill="1" applyBorder="1" applyAlignment="1" applyProtection="1">
      <alignment horizontal="left" wrapText="1"/>
      <protection/>
    </xf>
    <xf numFmtId="0" fontId="0" fillId="4" borderId="5" xfId="0" applyFont="1" applyFill="1" applyBorder="1" applyAlignment="1" applyProtection="1">
      <alignment/>
      <protection/>
    </xf>
    <xf numFmtId="0" fontId="0" fillId="0" borderId="0" xfId="0" applyFont="1" applyFill="1" applyBorder="1" applyAlignment="1" applyProtection="1">
      <alignment horizontal="left"/>
      <protection/>
    </xf>
    <xf numFmtId="3" fontId="0" fillId="0" borderId="0" xfId="0" applyNumberFormat="1" applyFill="1" applyBorder="1" applyAlignment="1">
      <alignment wrapText="1"/>
    </xf>
    <xf numFmtId="1" fontId="0" fillId="0" borderId="0" xfId="0" applyNumberFormat="1" applyFill="1" applyBorder="1" applyAlignment="1">
      <alignment wrapText="1"/>
    </xf>
    <xf numFmtId="177" fontId="0" fillId="0" borderId="0" xfId="0" applyNumberFormat="1" applyFill="1" applyBorder="1" applyAlignment="1">
      <alignment wrapText="1"/>
    </xf>
    <xf numFmtId="0" fontId="0" fillId="0" borderId="0" xfId="0" applyNumberFormat="1" applyFont="1" applyFill="1" applyBorder="1" applyAlignment="1" applyProtection="1">
      <alignment horizontal="right"/>
      <protection/>
    </xf>
    <xf numFmtId="0" fontId="11" fillId="3" borderId="1" xfId="0" applyFont="1" applyFill="1" applyBorder="1" applyAlignment="1" applyProtection="1">
      <alignment horizontal="left"/>
      <protection/>
    </xf>
    <xf numFmtId="0" fontId="0" fillId="0" borderId="0" xfId="0" applyBorder="1" applyAlignment="1">
      <alignment/>
    </xf>
    <xf numFmtId="3" fontId="0" fillId="4" borderId="1" xfId="0" applyNumberFormat="1" applyFill="1" applyBorder="1" applyAlignment="1">
      <alignment wrapText="1"/>
    </xf>
    <xf numFmtId="3" fontId="0" fillId="4" borderId="1" xfId="0" applyNumberFormat="1" applyFill="1" applyBorder="1" applyAlignment="1">
      <alignment horizontal="right" wrapText="1"/>
    </xf>
    <xf numFmtId="0" fontId="3" fillId="0" borderId="0" xfId="0" applyFont="1" applyAlignment="1">
      <alignment/>
    </xf>
    <xf numFmtId="0" fontId="0" fillId="4" borderId="15" xfId="0" applyFont="1" applyFill="1" applyBorder="1" applyAlignment="1" applyProtection="1">
      <alignment/>
      <protection/>
    </xf>
    <xf numFmtId="3" fontId="0" fillId="4" borderId="11" xfId="0" applyNumberFormat="1" applyFill="1" applyBorder="1" applyAlignment="1">
      <alignment wrapText="1"/>
    </xf>
    <xf numFmtId="0" fontId="0" fillId="4" borderId="15" xfId="0" applyFill="1" applyBorder="1" applyAlignment="1" applyProtection="1">
      <alignment horizontal="left"/>
      <protection/>
    </xf>
    <xf numFmtId="3" fontId="0" fillId="4" borderId="0" xfId="0" applyNumberFormat="1" applyFont="1" applyFill="1" applyBorder="1" applyAlignment="1" applyProtection="1">
      <alignment horizontal="right"/>
      <protection/>
    </xf>
    <xf numFmtId="0" fontId="0" fillId="4" borderId="23" xfId="0" applyFont="1" applyFill="1" applyBorder="1" applyAlignment="1" applyProtection="1">
      <alignment horizontal="left"/>
      <protection/>
    </xf>
    <xf numFmtId="3" fontId="0" fillId="4" borderId="24" xfId="0" applyNumberFormat="1" applyFont="1" applyFill="1" applyBorder="1" applyAlignment="1" applyProtection="1">
      <alignment horizontal="right"/>
      <protection/>
    </xf>
    <xf numFmtId="3" fontId="0" fillId="4" borderId="25" xfId="0" applyNumberFormat="1" applyFont="1" applyFill="1" applyBorder="1" applyAlignment="1" applyProtection="1">
      <alignment horizontal="right"/>
      <protection/>
    </xf>
    <xf numFmtId="3" fontId="0" fillId="4" borderId="2" xfId="0" applyNumberFormat="1" applyFill="1" applyBorder="1" applyAlignment="1" applyProtection="1">
      <alignment horizontal="right" shrinkToFit="1"/>
      <protection/>
    </xf>
    <xf numFmtId="3" fontId="0" fillId="4" borderId="9" xfId="0" applyNumberFormat="1" applyFill="1" applyBorder="1" applyAlignment="1" applyProtection="1">
      <alignment horizontal="right" shrinkToFit="1"/>
      <protection/>
    </xf>
    <xf numFmtId="0" fontId="0" fillId="4" borderId="23" xfId="0" applyFill="1" applyBorder="1" applyAlignment="1" applyProtection="1">
      <alignment horizontal="left"/>
      <protection/>
    </xf>
    <xf numFmtId="3" fontId="0" fillId="4" borderId="24" xfId="0" applyNumberFormat="1" applyFill="1" applyBorder="1" applyAlignment="1" applyProtection="1">
      <alignment horizontal="right" shrinkToFit="1"/>
      <protection/>
    </xf>
    <xf numFmtId="3" fontId="0" fillId="4" borderId="25" xfId="0" applyNumberFormat="1" applyFill="1" applyBorder="1" applyAlignment="1" applyProtection="1">
      <alignment horizontal="right" shrinkToFit="1"/>
      <protection/>
    </xf>
    <xf numFmtId="2" fontId="0" fillId="2" borderId="1" xfId="0" applyNumberFormat="1" applyFont="1" applyFill="1" applyBorder="1" applyAlignment="1" applyProtection="1">
      <alignment wrapText="1"/>
      <protection locked="0"/>
    </xf>
    <xf numFmtId="0" fontId="11" fillId="3" borderId="7" xfId="0" applyFont="1" applyFill="1" applyBorder="1" applyAlignment="1" applyProtection="1">
      <alignment horizontal="right"/>
      <protection/>
    </xf>
    <xf numFmtId="0" fontId="11" fillId="3" borderId="8" xfId="0" applyFont="1" applyFill="1" applyBorder="1" applyAlignment="1" applyProtection="1">
      <alignment horizontal="right"/>
      <protection/>
    </xf>
    <xf numFmtId="0" fontId="11" fillId="3" borderId="15" xfId="0" applyFont="1" applyFill="1" applyBorder="1" applyAlignment="1" applyProtection="1">
      <alignment horizontal="left" wrapText="1"/>
      <protection/>
    </xf>
    <xf numFmtId="0" fontId="11" fillId="3" borderId="2" xfId="0" applyFont="1" applyFill="1" applyBorder="1" applyAlignment="1" applyProtection="1">
      <alignment horizontal="right"/>
      <protection/>
    </xf>
    <xf numFmtId="0" fontId="11" fillId="3" borderId="9" xfId="0" applyFont="1" applyFill="1" applyBorder="1" applyAlignment="1" applyProtection="1">
      <alignment horizontal="right"/>
      <protection/>
    </xf>
    <xf numFmtId="3" fontId="0" fillId="4" borderId="19" xfId="0" applyNumberFormat="1" applyFont="1" applyFill="1" applyBorder="1" applyAlignment="1">
      <alignment horizontal="right" wrapText="1"/>
    </xf>
    <xf numFmtId="3" fontId="0" fillId="4" borderId="18" xfId="0" applyNumberFormat="1" applyFont="1" applyFill="1" applyBorder="1" applyAlignment="1">
      <alignment horizontal="right" wrapText="1"/>
    </xf>
    <xf numFmtId="0" fontId="11" fillId="3" borderId="26"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0" fillId="4" borderId="26" xfId="0" applyNumberFormat="1" applyFont="1" applyFill="1" applyBorder="1" applyAlignment="1">
      <alignment horizontal="right"/>
    </xf>
    <xf numFmtId="0" fontId="0" fillId="4" borderId="27" xfId="0" applyFont="1" applyFill="1" applyBorder="1" applyAlignment="1">
      <alignment horizontal="right"/>
    </xf>
    <xf numFmtId="0" fontId="0" fillId="4" borderId="28" xfId="0" applyNumberFormat="1" applyFill="1" applyBorder="1" applyAlignment="1">
      <alignment horizontal="right"/>
    </xf>
    <xf numFmtId="11" fontId="0" fillId="4" borderId="29" xfId="0" applyNumberFormat="1" applyFill="1" applyBorder="1" applyAlignment="1">
      <alignment horizontal="right"/>
    </xf>
    <xf numFmtId="0" fontId="0" fillId="4" borderId="26" xfId="0" applyNumberFormat="1" applyFill="1" applyBorder="1" applyAlignment="1">
      <alignment horizontal="right"/>
    </xf>
    <xf numFmtId="11" fontId="0" fillId="4" borderId="27" xfId="0" applyNumberFormat="1" applyFill="1" applyBorder="1" applyAlignment="1">
      <alignment horizontal="right"/>
    </xf>
    <xf numFmtId="0" fontId="0" fillId="4" borderId="30" xfId="0" applyNumberFormat="1" applyFont="1" applyFill="1" applyBorder="1" applyAlignment="1" applyProtection="1">
      <alignment horizontal="right"/>
      <protection/>
    </xf>
    <xf numFmtId="0" fontId="0" fillId="4" borderId="27" xfId="0" applyFont="1" applyFill="1" applyBorder="1" applyAlignment="1" applyProtection="1">
      <alignment horizontal="right"/>
      <protection/>
    </xf>
    <xf numFmtId="0" fontId="0" fillId="4" borderId="27" xfId="0" applyFont="1" applyFill="1" applyBorder="1" applyAlignment="1" applyProtection="1">
      <alignment horizontal="left"/>
      <protection/>
    </xf>
    <xf numFmtId="3" fontId="0" fillId="2" borderId="7" xfId="0" applyNumberFormat="1" applyFont="1" applyFill="1" applyBorder="1" applyAlignment="1" applyProtection="1">
      <alignment horizontal="right"/>
      <protection/>
    </xf>
    <xf numFmtId="3" fontId="0" fillId="2" borderId="8" xfId="0" applyNumberFormat="1" applyFont="1" applyFill="1" applyBorder="1" applyAlignment="1" applyProtection="1">
      <alignment horizontal="right"/>
      <protection/>
    </xf>
    <xf numFmtId="3" fontId="0" fillId="2" borderId="2" xfId="0" applyNumberFormat="1" applyFont="1" applyFill="1" applyBorder="1" applyAlignment="1" applyProtection="1">
      <alignment horizontal="right"/>
      <protection/>
    </xf>
    <xf numFmtId="3" fontId="0" fillId="2" borderId="9" xfId="0" applyNumberFormat="1" applyFont="1" applyFill="1" applyBorder="1" applyAlignment="1" applyProtection="1">
      <alignment horizontal="right"/>
      <protection/>
    </xf>
    <xf numFmtId="3" fontId="0" fillId="2" borderId="7" xfId="0" applyNumberFormat="1" applyFill="1" applyBorder="1" applyAlignment="1" applyProtection="1">
      <alignment horizontal="right"/>
      <protection/>
    </xf>
    <xf numFmtId="3" fontId="0" fillId="2" borderId="8" xfId="0" applyNumberFormat="1" applyFill="1" applyBorder="1" applyAlignment="1" applyProtection="1">
      <alignment horizontal="right"/>
      <protection/>
    </xf>
    <xf numFmtId="0" fontId="0" fillId="4" borderId="28" xfId="0" applyNumberFormat="1" applyFill="1" applyBorder="1" applyAlignment="1">
      <alignment/>
    </xf>
    <xf numFmtId="0" fontId="0" fillId="4" borderId="26" xfId="0" applyNumberFormat="1" applyFill="1" applyBorder="1" applyAlignment="1">
      <alignment/>
    </xf>
    <xf numFmtId="0" fontId="0" fillId="4" borderId="26" xfId="0" applyNumberFormat="1" applyFont="1" applyFill="1" applyBorder="1" applyAlignment="1" applyProtection="1">
      <alignment horizontal="right"/>
      <protection/>
    </xf>
    <xf numFmtId="0" fontId="11" fillId="3" borderId="5" xfId="0" applyFont="1" applyFill="1" applyBorder="1" applyAlignment="1" applyProtection="1">
      <alignment horizontal="left" wrapText="1"/>
      <protection/>
    </xf>
    <xf numFmtId="0" fontId="0" fillId="4" borderId="24" xfId="0" applyFill="1" applyBorder="1" applyAlignment="1">
      <alignment horizontal="right"/>
    </xf>
    <xf numFmtId="0" fontId="0" fillId="4" borderId="25" xfId="0" applyFill="1" applyBorder="1" applyAlignment="1">
      <alignment horizontal="right"/>
    </xf>
    <xf numFmtId="0" fontId="11" fillId="3" borderId="5" xfId="0" applyFont="1" applyFill="1" applyBorder="1" applyAlignment="1" applyProtection="1">
      <alignment horizontal="left"/>
      <protection/>
    </xf>
    <xf numFmtId="3" fontId="0" fillId="0" borderId="0" xfId="0" applyNumberFormat="1" applyFont="1" applyFill="1" applyBorder="1" applyAlignment="1" applyProtection="1">
      <alignment horizontal="right"/>
      <protection/>
    </xf>
    <xf numFmtId="3" fontId="0" fillId="4" borderId="7" xfId="0" applyNumberFormat="1" applyFill="1" applyBorder="1" applyAlignment="1" applyProtection="1">
      <alignment/>
      <protection/>
    </xf>
    <xf numFmtId="3" fontId="0" fillId="4" borderId="8" xfId="0" applyNumberFormat="1" applyFill="1" applyBorder="1" applyAlignment="1" applyProtection="1">
      <alignment/>
      <protection/>
    </xf>
    <xf numFmtId="3" fontId="0" fillId="4" borderId="2" xfId="0" applyNumberFormat="1" applyFill="1" applyBorder="1" applyAlignment="1" applyProtection="1">
      <alignment/>
      <protection/>
    </xf>
    <xf numFmtId="3" fontId="0" fillId="4" borderId="9" xfId="0" applyNumberFormat="1" applyFill="1" applyBorder="1" applyAlignment="1" applyProtection="1">
      <alignment/>
      <protection/>
    </xf>
    <xf numFmtId="3" fontId="0" fillId="4" borderId="20" xfId="0" applyNumberFormat="1" applyFill="1" applyBorder="1" applyAlignment="1" applyProtection="1">
      <alignment/>
      <protection/>
    </xf>
    <xf numFmtId="0" fontId="0" fillId="4" borderId="31" xfId="0" applyFill="1" applyBorder="1" applyAlignment="1" applyProtection="1">
      <alignment/>
      <protection/>
    </xf>
    <xf numFmtId="3" fontId="0" fillId="4" borderId="22" xfId="0" applyNumberFormat="1" applyFill="1" applyBorder="1" applyAlignment="1" applyProtection="1">
      <alignment/>
      <protection/>
    </xf>
    <xf numFmtId="0" fontId="0" fillId="4" borderId="23" xfId="0" applyFill="1" applyBorder="1" applyAlignment="1" applyProtection="1">
      <alignment/>
      <protection/>
    </xf>
    <xf numFmtId="0" fontId="0" fillId="4" borderId="24" xfId="0" applyFill="1" applyBorder="1" applyAlignment="1" applyProtection="1">
      <alignment/>
      <protection/>
    </xf>
    <xf numFmtId="0" fontId="0" fillId="4" borderId="25" xfId="0" applyFill="1" applyBorder="1" applyAlignment="1" applyProtection="1">
      <alignment/>
      <protection/>
    </xf>
    <xf numFmtId="0" fontId="0" fillId="4" borderId="16" xfId="0" applyFill="1" applyBorder="1" applyAlignment="1" applyProtection="1">
      <alignment horizontal="left" wrapText="1"/>
      <protection/>
    </xf>
    <xf numFmtId="3" fontId="0" fillId="4" borderId="6" xfId="0" applyNumberFormat="1" applyFill="1" applyBorder="1" applyAlignment="1" applyProtection="1">
      <alignment/>
      <protection/>
    </xf>
    <xf numFmtId="0" fontId="0" fillId="0" borderId="7" xfId="0" applyFill="1" applyBorder="1" applyAlignment="1" applyProtection="1">
      <alignment horizontal="left"/>
      <protection/>
    </xf>
    <xf numFmtId="0" fontId="0" fillId="0" borderId="2" xfId="0" applyFill="1" applyBorder="1" applyAlignment="1" applyProtection="1">
      <alignment horizontal="left"/>
      <protection/>
    </xf>
    <xf numFmtId="3" fontId="0" fillId="4" borderId="10" xfId="0" applyNumberFormat="1" applyFill="1" applyBorder="1" applyAlignment="1" applyProtection="1">
      <alignment/>
      <protection/>
    </xf>
    <xf numFmtId="3" fontId="0" fillId="4" borderId="21" xfId="0" applyNumberFormat="1" applyFill="1" applyBorder="1" applyAlignment="1" applyProtection="1">
      <alignment/>
      <protection/>
    </xf>
    <xf numFmtId="3" fontId="0" fillId="2" borderId="7" xfId="0" applyNumberFormat="1" applyFill="1" applyBorder="1" applyAlignment="1" applyProtection="1">
      <alignment/>
      <protection/>
    </xf>
    <xf numFmtId="3" fontId="0" fillId="2" borderId="8" xfId="0" applyNumberFormat="1" applyFill="1" applyBorder="1" applyAlignment="1" applyProtection="1">
      <alignment/>
      <protection/>
    </xf>
    <xf numFmtId="3" fontId="0" fillId="2" borderId="2" xfId="0" applyNumberFormat="1" applyFill="1" applyBorder="1" applyAlignment="1" applyProtection="1">
      <alignment/>
      <protection/>
    </xf>
    <xf numFmtId="3" fontId="0" fillId="2" borderId="9" xfId="0" applyNumberFormat="1" applyFill="1" applyBorder="1" applyAlignment="1" applyProtection="1">
      <alignment/>
      <protection/>
    </xf>
    <xf numFmtId="0" fontId="0" fillId="4" borderId="31" xfId="0" applyFill="1" applyBorder="1" applyAlignment="1" applyProtection="1">
      <alignment horizontal="left"/>
      <protection/>
    </xf>
    <xf numFmtId="3" fontId="0" fillId="4" borderId="25" xfId="0" applyNumberFormat="1" applyFill="1" applyBorder="1" applyAlignment="1" applyProtection="1">
      <alignment/>
      <protection/>
    </xf>
    <xf numFmtId="0" fontId="11" fillId="3" borderId="10" xfId="0" applyFont="1" applyFill="1" applyBorder="1" applyAlignment="1" applyProtection="1">
      <alignment horizontal="center"/>
      <protection/>
    </xf>
    <xf numFmtId="3" fontId="0" fillId="5" borderId="10" xfId="0" applyNumberFormat="1" applyFont="1" applyFill="1" applyBorder="1" applyAlignment="1" applyProtection="1">
      <alignment horizontal="center" shrinkToFit="1"/>
      <protection locked="0"/>
    </xf>
    <xf numFmtId="0" fontId="0" fillId="4" borderId="32" xfId="0" applyFill="1" applyBorder="1" applyAlignment="1" applyProtection="1">
      <alignment horizontal="left"/>
      <protection/>
    </xf>
    <xf numFmtId="3" fontId="0" fillId="2" borderId="33" xfId="0" applyNumberFormat="1" applyFill="1" applyBorder="1" applyAlignment="1" applyProtection="1">
      <alignment/>
      <protection/>
    </xf>
    <xf numFmtId="3" fontId="0" fillId="2" borderId="34" xfId="0" applyNumberFormat="1" applyFill="1" applyBorder="1" applyAlignment="1" applyProtection="1">
      <alignment/>
      <protection/>
    </xf>
    <xf numFmtId="3" fontId="8" fillId="0" borderId="0" xfId="0" applyNumberFormat="1" applyFont="1" applyFill="1" applyBorder="1" applyAlignment="1" applyProtection="1">
      <alignment/>
      <protection/>
    </xf>
    <xf numFmtId="3" fontId="0" fillId="0" borderId="0" xfId="0" applyNumberFormat="1" applyFill="1" applyBorder="1" applyAlignment="1" applyProtection="1">
      <alignment/>
      <protection/>
    </xf>
    <xf numFmtId="0" fontId="11" fillId="0" borderId="0" xfId="0" applyFont="1" applyFill="1" applyBorder="1" applyAlignment="1" applyProtection="1">
      <alignment horizontal="right"/>
      <protection/>
    </xf>
    <xf numFmtId="3" fontId="11" fillId="0" borderId="0" xfId="0" applyNumberFormat="1" applyFont="1" applyFill="1" applyBorder="1" applyAlignment="1" applyProtection="1">
      <alignment horizontal="right"/>
      <protection/>
    </xf>
    <xf numFmtId="3" fontId="0" fillId="0" borderId="0" xfId="0" applyNumberFormat="1" applyFill="1" applyBorder="1" applyAlignment="1" applyProtection="1">
      <alignment horizontal="right" shrinkToFit="1"/>
      <protection/>
    </xf>
    <xf numFmtId="3" fontId="0" fillId="0" borderId="0" xfId="0" applyNumberFormat="1" applyFill="1" applyBorder="1" applyAlignment="1" applyProtection="1">
      <alignment horizontal="right"/>
      <protection/>
    </xf>
    <xf numFmtId="0" fontId="0" fillId="0" borderId="0" xfId="0" applyFill="1" applyBorder="1" applyAlignment="1" applyProtection="1">
      <alignment horizontal="right"/>
      <protection/>
    </xf>
    <xf numFmtId="0" fontId="3" fillId="0" borderId="0" xfId="0" applyFont="1" applyBorder="1" applyAlignment="1" applyProtection="1">
      <alignment wrapText="1"/>
      <protection/>
    </xf>
    <xf numFmtId="0" fontId="0" fillId="0" borderId="0" xfId="0" applyFont="1" applyAlignment="1">
      <alignment wrapText="1"/>
    </xf>
    <xf numFmtId="0" fontId="11" fillId="3" borderId="15" xfId="0" applyFont="1" applyFill="1" applyBorder="1" applyAlignment="1" applyProtection="1">
      <alignment horizontal="left"/>
      <protection/>
    </xf>
    <xf numFmtId="3" fontId="0" fillId="4" borderId="24" xfId="0" applyNumberFormat="1" applyFill="1" applyBorder="1" applyAlignment="1" applyProtection="1">
      <alignment/>
      <protection/>
    </xf>
    <xf numFmtId="3" fontId="0" fillId="4" borderId="33" xfId="0" applyNumberFormat="1" applyFill="1" applyBorder="1" applyAlignment="1" applyProtection="1">
      <alignment/>
      <protection/>
    </xf>
    <xf numFmtId="4" fontId="0" fillId="4" borderId="6" xfId="0" applyNumberFormat="1" applyFill="1" applyBorder="1" applyAlignment="1" applyProtection="1">
      <alignment/>
      <protection/>
    </xf>
    <xf numFmtId="0" fontId="0" fillId="4" borderId="14" xfId="0" applyFill="1" applyBorder="1" applyAlignment="1" applyProtection="1">
      <alignment horizontal="left" wrapText="1"/>
      <protection/>
    </xf>
    <xf numFmtId="178" fontId="0" fillId="4" borderId="6" xfId="0" applyNumberFormat="1" applyFill="1" applyBorder="1" applyAlignment="1" applyProtection="1">
      <alignment/>
      <protection/>
    </xf>
    <xf numFmtId="0" fontId="3" fillId="0" borderId="0" xfId="0" applyFont="1" applyAlignment="1">
      <alignment/>
    </xf>
    <xf numFmtId="0" fontId="11" fillId="3" borderId="2" xfId="0" applyFont="1" applyFill="1" applyBorder="1" applyAlignment="1" applyProtection="1">
      <alignment horizontal="center"/>
      <protection/>
    </xf>
    <xf numFmtId="4" fontId="0" fillId="4" borderId="7" xfId="0" applyNumberFormat="1" applyFill="1" applyBorder="1" applyAlignment="1" applyProtection="1">
      <alignment/>
      <protection/>
    </xf>
    <xf numFmtId="4" fontId="0" fillId="4" borderId="2" xfId="0" applyNumberFormat="1" applyFill="1" applyBorder="1" applyAlignment="1" applyProtection="1">
      <alignment wrapText="1"/>
      <protection/>
    </xf>
    <xf numFmtId="0" fontId="11" fillId="3" borderId="10" xfId="0" applyFont="1" applyFill="1" applyBorder="1" applyAlignment="1" applyProtection="1">
      <alignment horizontal="center"/>
      <protection locked="0"/>
    </xf>
    <xf numFmtId="0" fontId="11" fillId="3" borderId="10" xfId="0" applyFont="1" applyFill="1" applyBorder="1" applyAlignment="1" applyProtection="1">
      <alignment horizontal="left"/>
      <protection locked="0"/>
    </xf>
    <xf numFmtId="0" fontId="3" fillId="4" borderId="23" xfId="0" applyFont="1" applyFill="1" applyBorder="1" applyAlignment="1" applyProtection="1">
      <alignment horizontal="left"/>
      <protection/>
    </xf>
    <xf numFmtId="3" fontId="3" fillId="4" borderId="24" xfId="0" applyNumberFormat="1" applyFont="1" applyFill="1" applyBorder="1" applyAlignment="1" applyProtection="1">
      <alignment horizontal="right"/>
      <protection/>
    </xf>
    <xf numFmtId="3" fontId="3" fillId="4" borderId="25" xfId="0" applyNumberFormat="1" applyFont="1" applyFill="1" applyBorder="1" applyAlignment="1" applyProtection="1">
      <alignment horizontal="right"/>
      <protection/>
    </xf>
    <xf numFmtId="3" fontId="3" fillId="0" borderId="0" xfId="0" applyNumberFormat="1" applyFont="1" applyFill="1" applyBorder="1" applyAlignment="1" applyProtection="1">
      <alignment horizontal="right"/>
      <protection/>
    </xf>
    <xf numFmtId="0" fontId="3" fillId="3" borderId="0" xfId="0" applyFont="1" applyFill="1" applyAlignment="1">
      <alignment/>
    </xf>
    <xf numFmtId="0" fontId="3" fillId="3" borderId="0" xfId="0" applyFont="1" applyFill="1" applyBorder="1" applyAlignment="1" applyProtection="1">
      <alignment/>
      <protection/>
    </xf>
    <xf numFmtId="0" fontId="3" fillId="3" borderId="0" xfId="0" applyFont="1" applyFill="1" applyBorder="1" applyAlignment="1" applyProtection="1">
      <alignment/>
      <protection/>
    </xf>
    <xf numFmtId="178" fontId="0" fillId="2" borderId="2" xfId="0" applyNumberFormat="1" applyFill="1" applyBorder="1" applyAlignment="1" applyProtection="1">
      <alignment/>
      <protection/>
    </xf>
    <xf numFmtId="178" fontId="0" fillId="2" borderId="6" xfId="0" applyNumberFormat="1" applyFill="1" applyBorder="1" applyAlignment="1" applyProtection="1">
      <alignment/>
      <protection/>
    </xf>
    <xf numFmtId="178" fontId="0" fillId="2" borderId="7" xfId="0" applyNumberFormat="1" applyFill="1" applyBorder="1" applyAlignment="1" applyProtection="1">
      <alignment/>
      <protection/>
    </xf>
    <xf numFmtId="178" fontId="0" fillId="2" borderId="24" xfId="0" applyNumberFormat="1" applyFill="1" applyBorder="1" applyAlignment="1" applyProtection="1">
      <alignment/>
      <protection/>
    </xf>
    <xf numFmtId="178" fontId="0" fillId="2" borderId="20" xfId="0" applyNumberFormat="1" applyFill="1" applyBorder="1" applyAlignment="1" applyProtection="1">
      <alignment/>
      <protection/>
    </xf>
    <xf numFmtId="178" fontId="0" fillId="0" borderId="0" xfId="0" applyNumberFormat="1" applyBorder="1" applyAlignment="1" applyProtection="1">
      <alignment/>
      <protection/>
    </xf>
    <xf numFmtId="178" fontId="11" fillId="3" borderId="2" xfId="0" applyNumberFormat="1" applyFont="1" applyFill="1" applyBorder="1" applyAlignment="1" applyProtection="1">
      <alignment horizontal="right"/>
      <protection/>
    </xf>
    <xf numFmtId="0" fontId="3" fillId="0" borderId="0" xfId="0" applyFont="1" applyFill="1" applyAlignment="1">
      <alignment/>
    </xf>
    <xf numFmtId="0" fontId="0" fillId="0" borderId="0" xfId="0" applyFill="1" applyAlignment="1">
      <alignment/>
    </xf>
    <xf numFmtId="4" fontId="0" fillId="4" borderId="7" xfId="0" applyNumberFormat="1" applyFill="1" applyBorder="1" applyAlignment="1" applyProtection="1">
      <alignment horizontal="left" wrapText="1"/>
      <protection/>
    </xf>
    <xf numFmtId="4" fontId="0" fillId="4" borderId="24" xfId="0" applyNumberFormat="1" applyFill="1" applyBorder="1" applyAlignment="1" applyProtection="1">
      <alignment horizontal="left" wrapText="1"/>
      <protection/>
    </xf>
    <xf numFmtId="3" fontId="0" fillId="4" borderId="6" xfId="0" applyNumberFormat="1" applyFill="1" applyBorder="1" applyAlignment="1" applyProtection="1">
      <alignment horizontal="left" wrapText="1"/>
      <protection/>
    </xf>
    <xf numFmtId="178" fontId="0" fillId="4" borderId="6" xfId="0" applyNumberFormat="1" applyFill="1" applyBorder="1" applyAlignment="1" applyProtection="1">
      <alignment horizontal="left" wrapText="1"/>
      <protection/>
    </xf>
    <xf numFmtId="3" fontId="0" fillId="4" borderId="20" xfId="0" applyNumberFormat="1" applyFill="1" applyBorder="1" applyAlignment="1" applyProtection="1">
      <alignment horizontal="left" wrapText="1"/>
      <protection/>
    </xf>
    <xf numFmtId="3" fontId="0" fillId="4" borderId="7" xfId="0" applyNumberFormat="1" applyFill="1" applyBorder="1" applyAlignment="1" applyProtection="1">
      <alignment horizontal="left" wrapText="1"/>
      <protection/>
    </xf>
    <xf numFmtId="4" fontId="0" fillId="2" borderId="6" xfId="0" applyNumberFormat="1" applyFill="1" applyBorder="1" applyAlignment="1" applyProtection="1">
      <alignment/>
      <protection/>
    </xf>
    <xf numFmtId="178" fontId="0" fillId="4" borderId="20" xfId="0" applyNumberFormat="1" applyFill="1" applyBorder="1" applyAlignment="1" applyProtection="1">
      <alignment/>
      <protection/>
    </xf>
    <xf numFmtId="0" fontId="0" fillId="4" borderId="8" xfId="0" applyFill="1" applyBorder="1" applyAlignment="1">
      <alignment wrapText="1"/>
    </xf>
    <xf numFmtId="0" fontId="11" fillId="3" borderId="9" xfId="0" applyFont="1" applyFill="1" applyBorder="1" applyAlignment="1" applyProtection="1">
      <alignment horizontal="center"/>
      <protection/>
    </xf>
    <xf numFmtId="3" fontId="0" fillId="4" borderId="8" xfId="0" applyNumberFormat="1" applyFill="1" applyBorder="1" applyAlignment="1" applyProtection="1">
      <alignment wrapText="1"/>
      <protection/>
    </xf>
    <xf numFmtId="3" fontId="0" fillId="4" borderId="25" xfId="0" applyNumberFormat="1" applyFill="1" applyBorder="1" applyAlignment="1" applyProtection="1">
      <alignment wrapText="1"/>
      <protection/>
    </xf>
    <xf numFmtId="3" fontId="0" fillId="4" borderId="10" xfId="0" applyNumberFormat="1" applyFill="1" applyBorder="1" applyAlignment="1" applyProtection="1">
      <alignment wrapText="1"/>
      <protection/>
    </xf>
    <xf numFmtId="3" fontId="0" fillId="4" borderId="9" xfId="0" applyNumberFormat="1" applyFill="1" applyBorder="1" applyAlignment="1" applyProtection="1">
      <alignment wrapText="1"/>
      <protection/>
    </xf>
    <xf numFmtId="3" fontId="0" fillId="4" borderId="21" xfId="0" applyNumberFormat="1" applyFill="1" applyBorder="1" applyAlignment="1" applyProtection="1">
      <alignment wrapText="1"/>
      <protection/>
    </xf>
    <xf numFmtId="0" fontId="11" fillId="3" borderId="8" xfId="0" applyFont="1" applyFill="1" applyBorder="1" applyAlignment="1" applyProtection="1">
      <alignment horizontal="center"/>
      <protection/>
    </xf>
    <xf numFmtId="0" fontId="0" fillId="0" borderId="13" xfId="0" applyFill="1" applyBorder="1" applyAlignment="1">
      <alignment/>
    </xf>
    <xf numFmtId="0" fontId="0" fillId="4" borderId="1" xfId="0" applyFill="1" applyBorder="1" applyAlignment="1" applyProtection="1">
      <alignment/>
      <protection/>
    </xf>
    <xf numFmtId="0" fontId="11" fillId="3" borderId="0" xfId="0" applyFont="1" applyFill="1" applyAlignment="1" applyProtection="1">
      <alignment horizontal="left"/>
      <protection/>
    </xf>
    <xf numFmtId="49" fontId="0" fillId="4" borderId="1" xfId="0" applyNumberFormat="1" applyFill="1" applyBorder="1" applyAlignment="1" applyProtection="1">
      <alignment horizontal="left" wrapText="1"/>
      <protection/>
    </xf>
    <xf numFmtId="0" fontId="0" fillId="4" borderId="1" xfId="0" applyFill="1" applyBorder="1" applyAlignment="1" applyProtection="1">
      <alignment horizontal="left" wrapText="1"/>
      <protection/>
    </xf>
    <xf numFmtId="0" fontId="3" fillId="0" borderId="0" xfId="0" applyFont="1" applyFill="1" applyBorder="1" applyAlignment="1" applyProtection="1">
      <alignment/>
      <protection/>
    </xf>
    <xf numFmtId="0" fontId="0" fillId="4" borderId="1" xfId="0" applyFont="1" applyFill="1" applyBorder="1" applyAlignment="1" applyProtection="1">
      <alignment/>
      <protection/>
    </xf>
    <xf numFmtId="2" fontId="3" fillId="0" borderId="0" xfId="0" applyNumberFormat="1" applyFont="1" applyBorder="1" applyAlignment="1" applyProtection="1">
      <alignment/>
      <protection/>
    </xf>
    <xf numFmtId="164" fontId="3" fillId="0" borderId="0" xfId="0" applyNumberFormat="1" applyFont="1" applyBorder="1" applyAlignment="1" applyProtection="1">
      <alignment/>
      <protection/>
    </xf>
    <xf numFmtId="3" fontId="0" fillId="4" borderId="35" xfId="0" applyNumberFormat="1" applyFill="1" applyBorder="1" applyAlignment="1">
      <alignment wrapText="1"/>
    </xf>
    <xf numFmtId="3" fontId="0" fillId="4" borderId="36" xfId="0" applyNumberFormat="1" applyFill="1" applyBorder="1" applyAlignment="1">
      <alignment wrapText="1"/>
    </xf>
    <xf numFmtId="3" fontId="0" fillId="4" borderId="37" xfId="0" applyNumberFormat="1" applyFill="1" applyBorder="1" applyAlignment="1">
      <alignment wrapText="1"/>
    </xf>
    <xf numFmtId="1" fontId="0" fillId="4" borderId="37" xfId="0" applyNumberFormat="1" applyFill="1" applyBorder="1" applyAlignment="1">
      <alignment wrapText="1"/>
    </xf>
    <xf numFmtId="3" fontId="0" fillId="4" borderId="38" xfId="0" applyNumberFormat="1" applyFill="1" applyBorder="1" applyAlignment="1">
      <alignment wrapText="1"/>
    </xf>
    <xf numFmtId="2" fontId="0" fillId="4" borderId="17" xfId="0" applyNumberFormat="1" applyFill="1" applyBorder="1" applyAlignment="1">
      <alignment wrapText="1"/>
    </xf>
    <xf numFmtId="1" fontId="0" fillId="4" borderId="17" xfId="0" applyNumberFormat="1" applyFill="1" applyBorder="1" applyAlignment="1">
      <alignment wrapText="1"/>
    </xf>
    <xf numFmtId="0" fontId="0" fillId="4" borderId="39" xfId="0" applyNumberFormat="1" applyFill="1" applyBorder="1" applyAlignment="1">
      <alignment horizontal="right" wrapText="1"/>
    </xf>
    <xf numFmtId="171" fontId="0" fillId="4" borderId="17" xfId="0" applyNumberFormat="1" applyFill="1" applyBorder="1" applyAlignment="1">
      <alignment wrapText="1"/>
    </xf>
    <xf numFmtId="2" fontId="0" fillId="4" borderId="40" xfId="0" applyNumberFormat="1" applyFill="1" applyBorder="1" applyAlignment="1">
      <alignment wrapText="1"/>
    </xf>
    <xf numFmtId="1" fontId="0" fillId="4" borderId="35" xfId="0" applyNumberFormat="1" applyFill="1" applyBorder="1" applyAlignment="1">
      <alignment wrapText="1"/>
    </xf>
    <xf numFmtId="3" fontId="0" fillId="4" borderId="41" xfId="0" applyNumberFormat="1" applyFont="1" applyFill="1" applyBorder="1" applyAlignment="1">
      <alignment horizontal="right" wrapText="1"/>
    </xf>
    <xf numFmtId="172" fontId="0" fillId="4" borderId="1" xfId="0" applyNumberFormat="1" applyFont="1" applyFill="1" applyBorder="1" applyAlignment="1" applyProtection="1">
      <alignment wrapText="1"/>
      <protection/>
    </xf>
    <xf numFmtId="2" fontId="0" fillId="4" borderId="1" xfId="0" applyNumberFormat="1" applyFont="1" applyFill="1" applyBorder="1" applyAlignment="1" applyProtection="1">
      <alignment wrapText="1"/>
      <protection/>
    </xf>
    <xf numFmtId="174" fontId="0" fillId="4" borderId="1" xfId="0" applyNumberFormat="1" applyFont="1" applyFill="1" applyBorder="1" applyAlignment="1" applyProtection="1">
      <alignment wrapText="1"/>
      <protection/>
    </xf>
    <xf numFmtId="171" fontId="0" fillId="4" borderId="1" xfId="0" applyNumberFormat="1" applyFont="1" applyFill="1" applyBorder="1" applyAlignment="1" applyProtection="1">
      <alignment wrapText="1"/>
      <protection/>
    </xf>
    <xf numFmtId="173" fontId="0" fillId="4" borderId="1" xfId="0" applyNumberFormat="1" applyFont="1" applyFill="1" applyBorder="1" applyAlignment="1" applyProtection="1">
      <alignment wrapText="1"/>
      <protection/>
    </xf>
    <xf numFmtId="6" fontId="0" fillId="4" borderId="1" xfId="0" applyNumberFormat="1" applyFill="1" applyBorder="1" applyAlignment="1" applyProtection="1">
      <alignment horizontal="right" wrapText="1"/>
      <protection/>
    </xf>
    <xf numFmtId="1" fontId="0" fillId="4" borderId="1" xfId="0" applyNumberFormat="1" applyFill="1" applyBorder="1" applyAlignment="1" applyProtection="1">
      <alignment horizontal="right"/>
      <protection/>
    </xf>
    <xf numFmtId="8" fontId="0" fillId="4" borderId="1" xfId="0" applyNumberFormat="1" applyFill="1" applyBorder="1" applyAlignment="1" applyProtection="1">
      <alignment wrapText="1"/>
      <protection/>
    </xf>
    <xf numFmtId="164" fontId="0" fillId="4" borderId="1" xfId="0" applyNumberFormat="1" applyFill="1" applyBorder="1" applyAlignment="1" applyProtection="1">
      <alignment horizontal="right" wrapText="1"/>
      <protection/>
    </xf>
    <xf numFmtId="2" fontId="0" fillId="4" borderId="1" xfId="0" applyNumberFormat="1" applyFill="1" applyBorder="1" applyAlignment="1" applyProtection="1">
      <alignment horizontal="right"/>
      <protection/>
    </xf>
    <xf numFmtId="170" fontId="0" fillId="4" borderId="1" xfId="0" applyNumberFormat="1" applyFill="1" applyBorder="1" applyAlignment="1" applyProtection="1">
      <alignment horizontal="right"/>
      <protection/>
    </xf>
    <xf numFmtId="164" fontId="0" fillId="4" borderId="1" xfId="0" applyNumberFormat="1" applyFont="1" applyFill="1" applyBorder="1" applyAlignment="1" applyProtection="1">
      <alignment horizontal="right"/>
      <protection/>
    </xf>
    <xf numFmtId="174" fontId="0" fillId="4" borderId="19" xfId="0" applyNumberFormat="1" applyFill="1" applyBorder="1" applyAlignment="1">
      <alignment wrapText="1"/>
    </xf>
    <xf numFmtId="164" fontId="0" fillId="6" borderId="1" xfId="0" applyNumberFormat="1" applyFill="1" applyBorder="1" applyAlignment="1" applyProtection="1">
      <alignment horizontal="right" wrapText="1"/>
      <protection locked="0"/>
    </xf>
    <xf numFmtId="0" fontId="0" fillId="0" borderId="0" xfId="0" applyAlignment="1">
      <alignment horizontal="left" wrapText="1" indent="1"/>
    </xf>
    <xf numFmtId="0" fontId="0" fillId="0" borderId="4" xfId="0" applyBorder="1" applyAlignment="1">
      <alignment horizontal="left" wrapText="1" indent="1"/>
    </xf>
    <xf numFmtId="9" fontId="0" fillId="2" borderId="11" xfId="0" applyNumberFormat="1" applyFont="1" applyFill="1" applyBorder="1" applyAlignment="1" applyProtection="1">
      <alignment wrapText="1"/>
      <protection locked="0"/>
    </xf>
    <xf numFmtId="9" fontId="0" fillId="0" borderId="12" xfId="0" applyNumberFormat="1" applyBorder="1" applyAlignment="1" applyProtection="1">
      <alignment wrapText="1"/>
      <protection locked="0"/>
    </xf>
    <xf numFmtId="9" fontId="0" fillId="0" borderId="13" xfId="0" applyNumberFormat="1" applyBorder="1" applyAlignment="1" applyProtection="1">
      <alignment wrapText="1"/>
      <protection locked="0"/>
    </xf>
    <xf numFmtId="0" fontId="3" fillId="3" borderId="0" xfId="0" applyFont="1" applyFill="1" applyBorder="1" applyAlignment="1" applyProtection="1">
      <alignment wrapText="1"/>
      <protection/>
    </xf>
    <xf numFmtId="0" fontId="0" fillId="3" borderId="0" xfId="0" applyFont="1" applyFill="1" applyAlignment="1">
      <alignment wrapText="1"/>
    </xf>
    <xf numFmtId="0" fontId="14" fillId="4" borderId="5" xfId="0" applyFont="1" applyFill="1" applyBorder="1" applyAlignment="1" applyProtection="1">
      <alignment wrapText="1"/>
      <protection/>
    </xf>
    <xf numFmtId="0" fontId="14" fillId="4" borderId="8" xfId="0" applyFont="1" applyFill="1" applyBorder="1" applyAlignment="1" applyProtection="1">
      <alignment wrapText="1"/>
      <protection/>
    </xf>
    <xf numFmtId="0" fontId="0" fillId="2" borderId="4" xfId="0" applyFill="1" applyBorder="1" applyAlignment="1">
      <alignment horizontal="left" indent="1"/>
    </xf>
    <xf numFmtId="0" fontId="0" fillId="2" borderId="14" xfId="0" applyFill="1" applyBorder="1" applyAlignment="1">
      <alignment horizontal="left" wrapText="1" indent="1"/>
    </xf>
    <xf numFmtId="0" fontId="0" fillId="2" borderId="6" xfId="0" applyFill="1" applyBorder="1" applyAlignment="1">
      <alignment horizontal="left" wrapText="1" indent="1"/>
    </xf>
    <xf numFmtId="0" fontId="0" fillId="2" borderId="10" xfId="0" applyFill="1" applyBorder="1" applyAlignment="1">
      <alignment horizontal="left" wrapText="1" indent="1"/>
    </xf>
    <xf numFmtId="0" fontId="0" fillId="2" borderId="3" xfId="0" applyFill="1" applyBorder="1" applyAlignment="1">
      <alignment horizontal="left" indent="1"/>
    </xf>
    <xf numFmtId="0" fontId="0" fillId="2" borderId="0" xfId="0" applyFill="1" applyBorder="1" applyAlignment="1">
      <alignment horizontal="left" indent="1"/>
    </xf>
    <xf numFmtId="0" fontId="3" fillId="2" borderId="15" xfId="0" applyFont="1" applyFill="1" applyBorder="1" applyAlignment="1">
      <alignment horizontal="left" wrapText="1" indent="1"/>
    </xf>
    <xf numFmtId="0" fontId="0" fillId="2" borderId="2" xfId="0" applyFill="1" applyBorder="1" applyAlignment="1">
      <alignment horizontal="left" wrapText="1" indent="1"/>
    </xf>
    <xf numFmtId="0" fontId="0" fillId="0" borderId="2" xfId="0" applyBorder="1" applyAlignment="1">
      <alignment horizontal="left" wrapText="1" indent="1"/>
    </xf>
    <xf numFmtId="0" fontId="0" fillId="2" borderId="3" xfId="0" applyFill="1" applyBorder="1" applyAlignment="1">
      <alignment horizontal="left" wrapText="1" indent="1"/>
    </xf>
    <xf numFmtId="0" fontId="0" fillId="2" borderId="0" xfId="0" applyFill="1" applyBorder="1" applyAlignment="1">
      <alignment horizontal="left" wrapText="1" indent="1"/>
    </xf>
    <xf numFmtId="0" fontId="0" fillId="2" borderId="4" xfId="0" applyFill="1" applyBorder="1" applyAlignment="1">
      <alignment horizontal="left" wrapText="1" indent="1"/>
    </xf>
    <xf numFmtId="0" fontId="0" fillId="4" borderId="5" xfId="0" applyFont="1" applyFill="1" applyBorder="1" applyAlignment="1" applyProtection="1">
      <alignment wrapText="1"/>
      <protection/>
    </xf>
    <xf numFmtId="0" fontId="0" fillId="4" borderId="8" xfId="0" applyFont="1" applyFill="1" applyBorder="1" applyAlignment="1" applyProtection="1">
      <alignment wrapText="1"/>
      <protection/>
    </xf>
    <xf numFmtId="0" fontId="0" fillId="4" borderId="5" xfId="0" applyFill="1" applyBorder="1" applyAlignment="1" applyProtection="1">
      <alignment wrapText="1"/>
      <protection/>
    </xf>
    <xf numFmtId="0" fontId="0" fillId="4" borderId="8" xfId="0" applyFill="1" applyBorder="1" applyAlignment="1" applyProtection="1">
      <alignment wrapText="1"/>
      <protection/>
    </xf>
    <xf numFmtId="0" fontId="4" fillId="0" borderId="8" xfId="0" applyFont="1" applyBorder="1" applyAlignment="1" applyProtection="1">
      <alignment wrapText="1"/>
      <protection/>
    </xf>
    <xf numFmtId="0" fontId="0" fillId="4" borderId="11" xfId="0" applyFill="1" applyBorder="1" applyAlignment="1" applyProtection="1">
      <alignment wrapText="1"/>
      <protection/>
    </xf>
    <xf numFmtId="0" fontId="0" fillId="4" borderId="12" xfId="0" applyFill="1" applyBorder="1" applyAlignment="1" applyProtection="1">
      <alignment wrapText="1"/>
      <protection/>
    </xf>
    <xf numFmtId="0" fontId="0" fillId="4" borderId="13" xfId="0" applyFill="1" applyBorder="1" applyAlignment="1" applyProtection="1">
      <alignment wrapText="1"/>
      <protection/>
    </xf>
    <xf numFmtId="0" fontId="11" fillId="3" borderId="6" xfId="0" applyFont="1" applyFill="1" applyBorder="1" applyAlignment="1" applyProtection="1">
      <alignment horizontal="left" wrapText="1"/>
      <protection/>
    </xf>
    <xf numFmtId="0" fontId="11" fillId="3" borderId="0" xfId="0" applyFont="1" applyFill="1" applyBorder="1" applyAlignment="1" applyProtection="1">
      <alignment horizontal="left" wrapText="1"/>
      <protection/>
    </xf>
    <xf numFmtId="0" fontId="0" fillId="0" borderId="8" xfId="0" applyBorder="1" applyAlignment="1" applyProtection="1">
      <alignment wrapText="1"/>
      <protection/>
    </xf>
    <xf numFmtId="0" fontId="3" fillId="3" borderId="0" xfId="0" applyFont="1" applyFill="1" applyAlignment="1" applyProtection="1">
      <alignment/>
      <protection/>
    </xf>
    <xf numFmtId="0" fontId="0" fillId="3" borderId="0" xfId="0" applyFont="1" applyFill="1" applyAlignment="1" applyProtection="1">
      <alignment/>
      <protection/>
    </xf>
    <xf numFmtId="0" fontId="0" fillId="4" borderId="11" xfId="0" applyFill="1" applyBorder="1" applyAlignment="1" applyProtection="1">
      <alignment horizontal="right" wrapText="1"/>
      <protection/>
    </xf>
    <xf numFmtId="0" fontId="0" fillId="0" borderId="12" xfId="0" applyBorder="1" applyAlignment="1" applyProtection="1">
      <alignment horizontal="right" wrapText="1"/>
      <protection/>
    </xf>
    <xf numFmtId="0" fontId="0" fillId="0" borderId="13" xfId="0" applyBorder="1" applyAlignment="1" applyProtection="1">
      <alignment horizontal="right" wrapText="1"/>
      <protection/>
    </xf>
    <xf numFmtId="0" fontId="0" fillId="0" borderId="6" xfId="0" applyBorder="1" applyAlignment="1">
      <alignment horizontal="left" wrapText="1"/>
    </xf>
    <xf numFmtId="0" fontId="0" fillId="4" borderId="15" xfId="0" applyFill="1" applyBorder="1" applyAlignment="1" applyProtection="1">
      <alignment horizontal="left" vertical="top" wrapText="1"/>
      <protection/>
    </xf>
    <xf numFmtId="0" fontId="0" fillId="0" borderId="9" xfId="0" applyBorder="1" applyAlignment="1">
      <alignment horizontal="left" wrapText="1"/>
    </xf>
    <xf numFmtId="0" fontId="0" fillId="4" borderId="3" xfId="0" applyFill="1" applyBorder="1" applyAlignment="1" applyProtection="1">
      <alignment horizontal="left" vertical="top" wrapText="1"/>
      <protection/>
    </xf>
    <xf numFmtId="0" fontId="0" fillId="0" borderId="4" xfId="0" applyBorder="1" applyAlignment="1">
      <alignment horizontal="left" wrapText="1"/>
    </xf>
    <xf numFmtId="0" fontId="0" fillId="4" borderId="14" xfId="0" applyFill="1" applyBorder="1" applyAlignment="1" applyProtection="1">
      <alignment horizontal="left" vertical="top" wrapText="1"/>
      <protection/>
    </xf>
    <xf numFmtId="0" fontId="0" fillId="0" borderId="10" xfId="0" applyBorder="1" applyAlignment="1">
      <alignment horizontal="left" wrapText="1"/>
    </xf>
    <xf numFmtId="0" fontId="9" fillId="0" borderId="0" xfId="0" applyFont="1" applyAlignment="1" applyProtection="1">
      <alignment/>
      <protection/>
    </xf>
    <xf numFmtId="0" fontId="6" fillId="3" borderId="0" xfId="0" applyFont="1" applyFill="1" applyAlignment="1" applyProtection="1">
      <alignment horizontal="left"/>
      <protection/>
    </xf>
    <xf numFmtId="0" fontId="8" fillId="3" borderId="0" xfId="0" applyFont="1" applyFill="1" applyAlignment="1" applyProtection="1">
      <alignment horizontal="left"/>
      <protection/>
    </xf>
    <xf numFmtId="0" fontId="8" fillId="3" borderId="0" xfId="0" applyFont="1" applyFill="1" applyBorder="1" applyAlignment="1" applyProtection="1">
      <alignment horizontal="left" wrapText="1"/>
      <protection/>
    </xf>
    <xf numFmtId="0" fontId="8" fillId="3" borderId="0" xfId="0" applyFont="1" applyFill="1" applyAlignment="1" applyProtection="1">
      <alignment wrapText="1"/>
      <protection/>
    </xf>
    <xf numFmtId="164" fontId="0" fillId="4" borderId="1" xfId="0" applyNumberFormat="1" applyFill="1" applyBorder="1" applyAlignment="1" applyProtection="1">
      <alignment horizontal="center" wrapText="1"/>
      <protection/>
    </xf>
    <xf numFmtId="0" fontId="0" fillId="4" borderId="1" xfId="0" applyFill="1" applyBorder="1" applyAlignment="1" applyProtection="1">
      <alignment wrapText="1"/>
      <protection/>
    </xf>
    <xf numFmtId="164" fontId="0" fillId="4" borderId="7" xfId="0" applyNumberFormat="1" applyFill="1" applyBorder="1" applyAlignment="1" applyProtection="1">
      <alignment horizontal="center"/>
      <protection/>
    </xf>
    <xf numFmtId="164" fontId="0" fillId="4" borderId="8" xfId="0" applyNumberFormat="1" applyFill="1" applyBorder="1" applyAlignment="1" applyProtection="1">
      <alignment horizontal="center"/>
      <protection/>
    </xf>
    <xf numFmtId="0" fontId="0" fillId="0" borderId="1" xfId="0" applyBorder="1" applyAlignment="1" applyProtection="1">
      <alignment wrapText="1"/>
      <protection/>
    </xf>
    <xf numFmtId="164" fontId="0" fillId="4" borderId="5" xfId="0" applyNumberFormat="1" applyFill="1" applyBorder="1" applyAlignment="1" applyProtection="1">
      <alignment horizontal="center" wrapText="1"/>
      <protection/>
    </xf>
    <xf numFmtId="0" fontId="0" fillId="0" borderId="8" xfId="0" applyBorder="1" applyAlignment="1">
      <alignment wrapText="1"/>
    </xf>
    <xf numFmtId="0" fontId="3" fillId="4" borderId="0" xfId="0" applyFont="1" applyFill="1" applyAlignment="1">
      <alignment/>
    </xf>
    <xf numFmtId="0" fontId="0" fillId="4" borderId="0" xfId="0" applyFont="1" applyFill="1" applyAlignment="1">
      <alignment/>
    </xf>
    <xf numFmtId="0" fontId="3" fillId="2" borderId="3" xfId="0" applyFont="1" applyFill="1" applyBorder="1" applyAlignment="1">
      <alignment horizontal="left" wrapText="1" indent="1"/>
    </xf>
    <xf numFmtId="0" fontId="3" fillId="2" borderId="14" xfId="0" applyFont="1" applyFill="1" applyBorder="1" applyAlignment="1">
      <alignment horizontal="left" wrapText="1" indent="1"/>
    </xf>
    <xf numFmtId="0" fontId="0" fillId="0" borderId="6" xfId="0" applyFont="1" applyBorder="1" applyAlignment="1">
      <alignment horizontal="left" wrapText="1" indent="1"/>
    </xf>
    <xf numFmtId="0" fontId="0" fillId="0" borderId="10" xfId="0" applyFont="1" applyBorder="1" applyAlignment="1">
      <alignment horizontal="left" wrapText="1" indent="1"/>
    </xf>
    <xf numFmtId="0" fontId="0" fillId="0" borderId="0" xfId="0" applyFont="1" applyAlignment="1">
      <alignment horizontal="left" wrapText="1" indent="1"/>
    </xf>
    <xf numFmtId="0" fontId="0" fillId="0" borderId="4" xfId="0" applyFont="1" applyBorder="1" applyAlignment="1">
      <alignment horizontal="left" wrapText="1" indent="1"/>
    </xf>
    <xf numFmtId="0" fontId="0" fillId="0" borderId="9" xfId="0" applyBorder="1" applyAlignment="1">
      <alignment horizontal="left" wrapText="1" indent="1"/>
    </xf>
    <xf numFmtId="3" fontId="0" fillId="7" borderId="22" xfId="0" applyNumberFormat="1" applyFont="1" applyFill="1" applyBorder="1" applyAlignment="1" applyProtection="1">
      <alignment horizontal="right"/>
      <protection/>
    </xf>
    <xf numFmtId="0" fontId="0" fillId="7" borderId="22" xfId="0" applyFill="1" applyBorder="1" applyAlignment="1">
      <alignment horizontal="right"/>
    </xf>
    <xf numFmtId="0" fontId="0" fillId="7" borderId="42" xfId="0" applyFill="1" applyBorder="1" applyAlignment="1">
      <alignment horizontal="right"/>
    </xf>
    <xf numFmtId="0" fontId="0" fillId="7" borderId="0" xfId="0" applyFill="1" applyBorder="1" applyAlignment="1">
      <alignment horizontal="right"/>
    </xf>
    <xf numFmtId="0" fontId="0" fillId="7" borderId="4" xfId="0" applyFill="1" applyBorder="1" applyAlignment="1">
      <alignment horizontal="right"/>
    </xf>
    <xf numFmtId="0" fontId="0" fillId="7" borderId="6" xfId="0" applyFill="1" applyBorder="1" applyAlignment="1">
      <alignment horizontal="right"/>
    </xf>
    <xf numFmtId="0" fontId="0" fillId="7" borderId="10" xfId="0" applyFill="1" applyBorder="1" applyAlignment="1">
      <alignment horizontal="right"/>
    </xf>
    <xf numFmtId="0" fontId="0" fillId="0" borderId="22" xfId="0" applyBorder="1" applyAlignment="1">
      <alignment horizontal="right"/>
    </xf>
    <xf numFmtId="0" fontId="0" fillId="0" borderId="42" xfId="0" applyBorder="1" applyAlignment="1">
      <alignment horizontal="right"/>
    </xf>
    <xf numFmtId="0" fontId="0" fillId="0" borderId="0" xfId="0" applyBorder="1" applyAlignment="1">
      <alignment horizontal="right"/>
    </xf>
    <xf numFmtId="0" fontId="0" fillId="0" borderId="4" xfId="0" applyBorder="1" applyAlignment="1">
      <alignment horizontal="right"/>
    </xf>
    <xf numFmtId="0" fontId="0" fillId="0" borderId="43" xfId="0" applyBorder="1" applyAlignment="1">
      <alignment horizontal="right"/>
    </xf>
    <xf numFmtId="0" fontId="0" fillId="0" borderId="44" xfId="0" applyBorder="1" applyAlignment="1">
      <alignment horizontal="right"/>
    </xf>
    <xf numFmtId="0" fontId="0" fillId="7" borderId="43" xfId="0" applyFill="1" applyBorder="1" applyAlignment="1">
      <alignment horizontal="right"/>
    </xf>
    <xf numFmtId="0" fontId="0" fillId="7" borderId="44" xfId="0" applyFill="1" applyBorder="1" applyAlignment="1">
      <alignment horizontal="right"/>
    </xf>
    <xf numFmtId="0" fontId="7" fillId="0" borderId="0" xfId="0" applyFont="1" applyBorder="1" applyAlignment="1" applyProtection="1">
      <alignment wrapText="1"/>
      <protection/>
    </xf>
    <xf numFmtId="0" fontId="0" fillId="0" borderId="0" xfId="0" applyAlignment="1">
      <alignment wrapText="1"/>
    </xf>
    <xf numFmtId="0" fontId="0" fillId="4" borderId="0" xfId="0" applyFill="1" applyAlignment="1">
      <alignment/>
    </xf>
    <xf numFmtId="0" fontId="0" fillId="4" borderId="15" xfId="0" applyFill="1" applyBorder="1" applyAlignment="1">
      <alignment wrapText="1"/>
    </xf>
    <xf numFmtId="0" fontId="0" fillId="0" borderId="2" xfId="0" applyBorder="1" applyAlignment="1">
      <alignment wrapText="1"/>
    </xf>
    <xf numFmtId="0" fontId="0" fillId="0" borderId="9" xfId="0" applyBorder="1" applyAlignment="1">
      <alignment wrapText="1"/>
    </xf>
    <xf numFmtId="0" fontId="0" fillId="4" borderId="5" xfId="0" applyFill="1" applyBorder="1" applyAlignment="1">
      <alignment wrapText="1"/>
    </xf>
    <xf numFmtId="0" fontId="0" fillId="0" borderId="7" xfId="0" applyBorder="1" applyAlignment="1">
      <alignment wrapText="1"/>
    </xf>
    <xf numFmtId="1" fontId="0" fillId="4" borderId="32" xfId="0" applyNumberFormat="1" applyFont="1" applyFill="1" applyBorder="1" applyAlignment="1" applyProtection="1">
      <alignment/>
      <protection/>
    </xf>
    <xf numFmtId="0" fontId="0" fillId="0" borderId="34" xfId="0" applyBorder="1" applyAlignment="1">
      <alignment/>
    </xf>
    <xf numFmtId="2" fontId="0" fillId="4" borderId="5" xfId="0" applyNumberFormat="1" applyFont="1" applyFill="1" applyBorder="1" applyAlignment="1" applyProtection="1">
      <alignment/>
      <protection/>
    </xf>
    <xf numFmtId="0" fontId="0" fillId="0" borderId="8" xfId="0" applyBorder="1" applyAlignment="1">
      <alignment/>
    </xf>
    <xf numFmtId="0" fontId="0" fillId="4" borderId="5" xfId="0" applyFont="1" applyFill="1" applyBorder="1" applyAlignment="1" applyProtection="1">
      <alignment/>
      <protection/>
    </xf>
    <xf numFmtId="0" fontId="0" fillId="4" borderId="7" xfId="0" applyFont="1" applyFill="1" applyBorder="1" applyAlignment="1" applyProtection="1">
      <alignment/>
      <protection/>
    </xf>
    <xf numFmtId="0" fontId="0" fillId="4" borderId="16" xfId="0" applyFont="1" applyFill="1" applyBorder="1" applyAlignment="1" applyProtection="1">
      <alignment/>
      <protection/>
    </xf>
    <xf numFmtId="0" fontId="0" fillId="4" borderId="20" xfId="0" applyFont="1" applyFill="1" applyBorder="1" applyAlignment="1" applyProtection="1">
      <alignment/>
      <protection/>
    </xf>
    <xf numFmtId="0" fontId="0" fillId="4" borderId="21" xfId="0" applyFont="1" applyFill="1" applyBorder="1" applyAlignment="1" applyProtection="1">
      <alignment/>
      <protection/>
    </xf>
    <xf numFmtId="0" fontId="11" fillId="3" borderId="5"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45" xfId="0" applyFont="1" applyFill="1" applyBorder="1" applyAlignment="1">
      <alignment horizontal="center" vertical="center" wrapText="1"/>
    </xf>
    <xf numFmtId="0" fontId="0" fillId="0" borderId="7" xfId="0" applyBorder="1" applyAlignment="1">
      <alignment horizontal="center" vertical="center" wrapText="1"/>
    </xf>
    <xf numFmtId="0" fontId="11" fillId="3" borderId="30" xfId="0" applyFont="1" applyFill="1" applyBorder="1" applyAlignment="1">
      <alignment horizontal="center" vertical="center" wrapText="1"/>
    </xf>
    <xf numFmtId="3" fontId="0" fillId="4" borderId="40" xfId="0" applyNumberFormat="1" applyFill="1" applyBorder="1" applyAlignment="1">
      <alignment wrapText="1"/>
    </xf>
    <xf numFmtId="3" fontId="0" fillId="4" borderId="17" xfId="0" applyNumberFormat="1" applyFill="1" applyBorder="1" applyAlignment="1">
      <alignment wrapText="1"/>
    </xf>
    <xf numFmtId="0" fontId="0" fillId="4" borderId="30" xfId="0" applyNumberFormat="1" applyFill="1" applyBorder="1" applyAlignment="1">
      <alignment horizontal="right"/>
    </xf>
    <xf numFmtId="0" fontId="0" fillId="0" borderId="8" xfId="0" applyBorder="1" applyAlignment="1">
      <alignment horizontal="right"/>
    </xf>
    <xf numFmtId="3" fontId="0" fillId="4" borderId="46" xfId="0" applyNumberFormat="1" applyFont="1" applyFill="1" applyBorder="1" applyAlignment="1">
      <alignment wrapText="1"/>
    </xf>
    <xf numFmtId="0" fontId="0" fillId="0" borderId="35" xfId="0" applyBorder="1" applyAlignment="1">
      <alignment wrapText="1"/>
    </xf>
    <xf numFmtId="0" fontId="0" fillId="4" borderId="30" xfId="0" applyNumberFormat="1" applyFont="1" applyFill="1" applyBorder="1" applyAlignment="1">
      <alignment horizontal="right"/>
    </xf>
    <xf numFmtId="0" fontId="0" fillId="0" borderId="8" xfId="0" applyBorder="1" applyAlignment="1">
      <alignment horizontal="center" vertical="center" wrapText="1"/>
    </xf>
    <xf numFmtId="0" fontId="0" fillId="4" borderId="5" xfId="0" applyFont="1" applyFill="1" applyBorder="1" applyAlignment="1" applyProtection="1">
      <alignment horizontal="right"/>
      <protection/>
    </xf>
    <xf numFmtId="0" fontId="11" fillId="3" borderId="14" xfId="0" applyFont="1" applyFill="1" applyBorder="1" applyAlignment="1">
      <alignment horizontal="center" vertical="center" wrapText="1"/>
    </xf>
    <xf numFmtId="0" fontId="0" fillId="0" borderId="6" xfId="0" applyBorder="1" applyAlignment="1">
      <alignment horizontal="center" vertical="center" wrapText="1"/>
    </xf>
    <xf numFmtId="0" fontId="0" fillId="0" borderId="6" xfId="0" applyBorder="1" applyAlignment="1">
      <alignment wrapText="1"/>
    </xf>
    <xf numFmtId="0" fontId="0" fillId="4" borderId="30" xfId="0" applyNumberFormat="1" applyFont="1" applyFill="1" applyBorder="1" applyAlignment="1" applyProtection="1">
      <alignment horizontal="right"/>
      <protection/>
    </xf>
    <xf numFmtId="3" fontId="0" fillId="4" borderId="47" xfId="0" applyNumberFormat="1" applyFont="1" applyFill="1" applyBorder="1" applyAlignment="1">
      <alignment wrapText="1"/>
    </xf>
    <xf numFmtId="0" fontId="0" fillId="0" borderId="48" xfId="0" applyBorder="1" applyAlignment="1">
      <alignment wrapText="1"/>
    </xf>
    <xf numFmtId="0" fontId="0" fillId="0" borderId="49" xfId="0" applyBorder="1" applyAlignment="1">
      <alignment wrapText="1"/>
    </xf>
    <xf numFmtId="3" fontId="0" fillId="4" borderId="5" xfId="0" applyNumberFormat="1" applyFill="1" applyBorder="1" applyAlignment="1">
      <alignment wrapText="1"/>
    </xf>
    <xf numFmtId="3" fontId="0" fillId="4" borderId="7" xfId="0" applyNumberFormat="1" applyFill="1" applyBorder="1" applyAlignment="1">
      <alignment wrapText="1"/>
    </xf>
    <xf numFmtId="0" fontId="0" fillId="4" borderId="5" xfId="0" applyFill="1" applyBorder="1" applyAlignment="1">
      <alignment/>
    </xf>
    <xf numFmtId="0" fontId="0" fillId="4" borderId="7" xfId="0" applyFill="1" applyBorder="1" applyAlignment="1">
      <alignment/>
    </xf>
    <xf numFmtId="0" fontId="0" fillId="4" borderId="5" xfId="0" applyFont="1" applyFill="1" applyBorder="1" applyAlignment="1" applyProtection="1">
      <alignment horizontal="left"/>
      <protection/>
    </xf>
    <xf numFmtId="0" fontId="0" fillId="4" borderId="7" xfId="0" applyFont="1" applyFill="1" applyBorder="1" applyAlignment="1" applyProtection="1">
      <alignment horizontal="left"/>
      <protection/>
    </xf>
    <xf numFmtId="2" fontId="0" fillId="4" borderId="5" xfId="0" applyNumberFormat="1" applyFont="1" applyFill="1" applyBorder="1" applyAlignment="1" applyProtection="1">
      <alignment horizontal="right"/>
      <protection/>
    </xf>
    <xf numFmtId="0" fontId="0" fillId="4" borderId="7" xfId="0" applyFill="1" applyBorder="1" applyAlignment="1" applyProtection="1">
      <alignment wrapText="1"/>
      <protection/>
    </xf>
    <xf numFmtId="0" fontId="0" fillId="3" borderId="0" xfId="0" applyFill="1" applyBorder="1" applyAlignment="1" applyProtection="1">
      <alignment horizontal="left" wrapText="1"/>
      <protection/>
    </xf>
    <xf numFmtId="0" fontId="0" fillId="3" borderId="0" xfId="0" applyFill="1" applyAlignment="1">
      <alignment wrapText="1"/>
    </xf>
    <xf numFmtId="0" fontId="0" fillId="4" borderId="7" xfId="0" applyFill="1" applyBorder="1" applyAlignment="1">
      <alignment wrapText="1"/>
    </xf>
    <xf numFmtId="0" fontId="0" fillId="4" borderId="8" xfId="0" applyFill="1" applyBorder="1" applyAlignment="1">
      <alignment wrapText="1"/>
    </xf>
    <xf numFmtId="0" fontId="0" fillId="2" borderId="0" xfId="0" applyFont="1" applyFill="1" applyBorder="1" applyAlignment="1" applyProtection="1">
      <alignment wrapText="1"/>
      <protection/>
    </xf>
    <xf numFmtId="0" fontId="0" fillId="2" borderId="0" xfId="0" applyFont="1" applyFill="1" applyAlignment="1">
      <alignment wrapText="1"/>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Hardscape and Landscape Waste 
Disposition Costs Over Time</a:t>
            </a:r>
          </a:p>
        </c:rich>
      </c:tx>
      <c:layout/>
      <c:spPr>
        <a:noFill/>
        <a:ln>
          <a:noFill/>
        </a:ln>
      </c:spPr>
    </c:title>
    <c:plotArea>
      <c:layout>
        <c:manualLayout>
          <c:xMode val="edge"/>
          <c:yMode val="edge"/>
          <c:x val="0.04025"/>
          <c:y val="0.11825"/>
          <c:w val="0.94575"/>
          <c:h val="0.62825"/>
        </c:manualLayout>
      </c:layout>
      <c:lineChart>
        <c:grouping val="standard"/>
        <c:varyColors val="0"/>
        <c:ser>
          <c:idx val="0"/>
          <c:order val="0"/>
          <c:tx>
            <c:strRef>
              <c:f>'Cost Calculator'!$A$4</c:f>
              <c:strCache>
                <c:ptCount val="1"/>
                <c:pt idx="0">
                  <c:v>Maximum Reuse, then Recycle, Landfill Remaining Waste </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9966"/>
              </a:solidFill>
              <a:ln>
                <a:solidFill>
                  <a:srgbClr val="339966"/>
                </a:solidFill>
              </a:ln>
            </c:spPr>
          </c:marker>
          <c:cat>
            <c:strRef>
              <c:f>'Cost Calculator'!$B$4:$E$4</c:f>
              <c:strCache>
                <c:ptCount val="4"/>
                <c:pt idx="0">
                  <c:v>1 year</c:v>
                </c:pt>
                <c:pt idx="1">
                  <c:v>3 years</c:v>
                </c:pt>
                <c:pt idx="2">
                  <c:v>6 years</c:v>
                </c:pt>
                <c:pt idx="3">
                  <c:v>10 years</c:v>
                </c:pt>
              </c:strCache>
            </c:strRef>
          </c:cat>
          <c:val>
            <c:numRef>
              <c:f>'Cost Calculator'!$B$24:$E$24</c:f>
              <c:numCache>
                <c:ptCount val="4"/>
                <c:pt idx="0">
                  <c:v>195.48994623655915</c:v>
                </c:pt>
                <c:pt idx="1">
                  <c:v>586.4698387096774</c:v>
                </c:pt>
                <c:pt idx="2">
                  <c:v>1172.939677419355</c:v>
                </c:pt>
                <c:pt idx="3">
                  <c:v>1954.8994623655913</c:v>
                </c:pt>
              </c:numCache>
            </c:numRef>
          </c:val>
          <c:smooth val="0"/>
        </c:ser>
        <c:ser>
          <c:idx val="1"/>
          <c:order val="1"/>
          <c:tx>
            <c:strRef>
              <c:f>'Cost Calculator'!$A$27</c:f>
              <c:strCache>
                <c:ptCount val="1"/>
                <c:pt idx="0">
                  <c:v>Maximum Reuse, Landfill Remaining Waste</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FF"/>
              </a:solidFill>
              <a:ln>
                <a:solidFill>
                  <a:srgbClr val="0000FF"/>
                </a:solidFill>
              </a:ln>
            </c:spPr>
          </c:marker>
          <c:cat>
            <c:strRef>
              <c:f>'Cost Calculator'!$B$4:$E$4</c:f>
              <c:strCache>
                <c:ptCount val="4"/>
                <c:pt idx="0">
                  <c:v>1 year</c:v>
                </c:pt>
                <c:pt idx="1">
                  <c:v>3 years</c:v>
                </c:pt>
                <c:pt idx="2">
                  <c:v>6 years</c:v>
                </c:pt>
                <c:pt idx="3">
                  <c:v>10 years</c:v>
                </c:pt>
              </c:strCache>
            </c:strRef>
          </c:cat>
          <c:val>
            <c:numRef>
              <c:f>'Cost Calculator'!$B$47:$E$47</c:f>
              <c:numCache>
                <c:ptCount val="4"/>
                <c:pt idx="0">
                  <c:v>293.46286290322587</c:v>
                </c:pt>
                <c:pt idx="1">
                  <c:v>880.3885887096774</c:v>
                </c:pt>
                <c:pt idx="2">
                  <c:v>1760.7771774193548</c:v>
                </c:pt>
                <c:pt idx="3">
                  <c:v>2934.628629032258</c:v>
                </c:pt>
              </c:numCache>
            </c:numRef>
          </c:val>
          <c:smooth val="0"/>
        </c:ser>
        <c:ser>
          <c:idx val="2"/>
          <c:order val="2"/>
          <c:tx>
            <c:strRef>
              <c:f>'Cost Calculator'!$A$50</c:f>
              <c:strCache>
                <c:ptCount val="1"/>
                <c:pt idx="0">
                  <c:v>Recycle All Waste Where Facilities Exist</c:v>
                </c:pt>
              </c:strCache>
            </c:strRef>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9900"/>
              </a:solidFill>
              <a:ln>
                <a:solidFill>
                  <a:srgbClr val="FF9900"/>
                </a:solidFill>
              </a:ln>
            </c:spPr>
          </c:marker>
          <c:cat>
            <c:strRef>
              <c:f>'Cost Calculator'!$B$4:$E$4</c:f>
              <c:strCache>
                <c:ptCount val="4"/>
                <c:pt idx="0">
                  <c:v>1 year</c:v>
                </c:pt>
                <c:pt idx="1">
                  <c:v>3 years</c:v>
                </c:pt>
                <c:pt idx="2">
                  <c:v>6 years</c:v>
                </c:pt>
                <c:pt idx="3">
                  <c:v>10 years</c:v>
                </c:pt>
              </c:strCache>
            </c:strRef>
          </c:cat>
          <c:val>
            <c:numRef>
              <c:f>'Cost Calculator'!$B$63:$E$63</c:f>
              <c:numCache>
                <c:ptCount val="4"/>
                <c:pt idx="0">
                  <c:v>827.39</c:v>
                </c:pt>
                <c:pt idx="1">
                  <c:v>2482.17</c:v>
                </c:pt>
                <c:pt idx="2">
                  <c:v>4964.34</c:v>
                </c:pt>
                <c:pt idx="3">
                  <c:v>8273.9</c:v>
                </c:pt>
              </c:numCache>
            </c:numRef>
          </c:val>
          <c:smooth val="0"/>
        </c:ser>
        <c:ser>
          <c:idx val="3"/>
          <c:order val="3"/>
          <c:tx>
            <c:strRef>
              <c:f>'Cost Calculator'!$A$66</c:f>
              <c:strCache>
                <c:ptCount val="1"/>
                <c:pt idx="0">
                  <c:v>Landfill All Waste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'Cost Calculator'!$B$4:$E$4</c:f>
              <c:strCache>
                <c:ptCount val="4"/>
                <c:pt idx="0">
                  <c:v>1 year</c:v>
                </c:pt>
                <c:pt idx="1">
                  <c:v>3 years</c:v>
                </c:pt>
                <c:pt idx="2">
                  <c:v>6 years</c:v>
                </c:pt>
                <c:pt idx="3">
                  <c:v>10 years</c:v>
                </c:pt>
              </c:strCache>
            </c:strRef>
          </c:cat>
          <c:val>
            <c:numRef>
              <c:f>'Cost Calculator'!$B$79:$E$79</c:f>
              <c:numCache>
                <c:ptCount val="4"/>
                <c:pt idx="0">
                  <c:v>1030.9825</c:v>
                </c:pt>
                <c:pt idx="1">
                  <c:v>3092.9474999999998</c:v>
                </c:pt>
                <c:pt idx="2">
                  <c:v>6185.8949999999995</c:v>
                </c:pt>
                <c:pt idx="3">
                  <c:v>10309.825</c:v>
                </c:pt>
              </c:numCache>
            </c:numRef>
          </c:val>
          <c:smooth val="0"/>
        </c:ser>
        <c:marker val="1"/>
        <c:axId val="54594624"/>
        <c:axId val="21589569"/>
      </c:lineChart>
      <c:catAx>
        <c:axId val="54594624"/>
        <c:scaling>
          <c:orientation val="minMax"/>
        </c:scaling>
        <c:axPos val="b"/>
        <c:title>
          <c:tx>
            <c:rich>
              <a:bodyPr vert="horz" rot="0" anchor="ctr"/>
              <a:lstStyle/>
              <a:p>
                <a:pPr algn="ctr">
                  <a:defRPr/>
                </a:pPr>
                <a:r>
                  <a:rPr lang="en-US" cap="none" sz="1200" b="1" i="0" u="none" baseline="0">
                    <a:latin typeface="Arial"/>
                    <a:ea typeface="Arial"/>
                    <a:cs typeface="Arial"/>
                  </a:rPr>
                  <a:t>Time</a:t>
                </a:r>
              </a:p>
            </c:rich>
          </c:tx>
          <c:layout>
            <c:manualLayout>
              <c:xMode val="factor"/>
              <c:yMode val="factor"/>
              <c:x val="0.00975"/>
              <c:y val="-0.00075"/>
            </c:manualLayout>
          </c:layout>
          <c:overlay val="0"/>
          <c:spPr>
            <a:noFill/>
            <a:ln>
              <a:noFill/>
            </a:ln>
          </c:spPr>
        </c:title>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21589569"/>
        <c:crosses val="autoZero"/>
        <c:auto val="1"/>
        <c:lblOffset val="100"/>
        <c:noMultiLvlLbl val="0"/>
      </c:catAx>
      <c:valAx>
        <c:axId val="21589569"/>
        <c:scaling>
          <c:orientation val="minMax"/>
        </c:scaling>
        <c:axPos val="l"/>
        <c:title>
          <c:tx>
            <c:rich>
              <a:bodyPr vert="horz" rot="-5400000" anchor="ctr"/>
              <a:lstStyle/>
              <a:p>
                <a:pPr algn="ctr">
                  <a:defRPr/>
                </a:pPr>
                <a:r>
                  <a:rPr lang="en-US" cap="none" sz="1200" b="1" i="0" u="none" baseline="0">
                    <a:latin typeface="Arial"/>
                    <a:ea typeface="Arial"/>
                    <a:cs typeface="Arial"/>
                  </a:rPr>
                  <a:t>Cost</a:t>
                </a:r>
              </a:p>
            </c:rich>
          </c:tx>
          <c:layout/>
          <c:overlay val="0"/>
          <c:spPr>
            <a:noFill/>
            <a:ln>
              <a:noFill/>
            </a:ln>
          </c:spPr>
        </c:title>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54594624"/>
        <c:crossesAt val="1"/>
        <c:crossBetween val="between"/>
        <c:dispUnits/>
      </c:valAx>
      <c:spPr>
        <a:noFill/>
        <a:ln>
          <a:noFill/>
        </a:ln>
      </c:spPr>
    </c:plotArea>
    <c:legend>
      <c:legendPos val="b"/>
      <c:layout>
        <c:manualLayout>
          <c:xMode val="edge"/>
          <c:yMode val="edge"/>
          <c:x val="0.3735"/>
          <c:y val="0.822"/>
          <c:w val="0.59225"/>
          <c:h val="0.178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Average Annual Hardscape and Landscape Waste Dispostion Cost (Over 10 Years)</a:t>
            </a:r>
          </a:p>
        </c:rich>
      </c:tx>
      <c:layout/>
      <c:spPr>
        <a:noFill/>
        <a:ln>
          <a:noFill/>
        </a:ln>
      </c:spPr>
    </c:title>
    <c:plotArea>
      <c:layout>
        <c:manualLayout>
          <c:xMode val="edge"/>
          <c:yMode val="edge"/>
          <c:x val="0.072"/>
          <c:y val="0.18325"/>
          <c:w val="0.91125"/>
          <c:h val="0.71125"/>
        </c:manualLayout>
      </c:layout>
      <c:barChart>
        <c:barDir val="col"/>
        <c:grouping val="clustered"/>
        <c:varyColors val="0"/>
        <c:ser>
          <c:idx val="0"/>
          <c:order val="0"/>
          <c:tx>
            <c:v>Average Annual Cost Over Next 10 Years</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('Cost Calculator'!$A$4,'Cost Calculator'!$A$27,'Cost Calculator'!$A$50,'Cost Calculator'!$A$66)</c:f>
              <c:strCache>
                <c:ptCount val="4"/>
                <c:pt idx="0">
                  <c:v>Maximum Reuse, then Recycle, Landfill Remaining Waste </c:v>
                </c:pt>
                <c:pt idx="1">
                  <c:v>Maximum Reuse, Landfill Remaining Waste</c:v>
                </c:pt>
                <c:pt idx="2">
                  <c:v>Recycle All Waste Where Facilities Exist</c:v>
                </c:pt>
                <c:pt idx="3">
                  <c:v>Landfill All Waste</c:v>
                </c:pt>
              </c:strCache>
            </c:strRef>
          </c:cat>
          <c:val>
            <c:numRef>
              <c:f>('Cost Calculator'!$F$24,'Cost Calculator'!$F$47,'Cost Calculator'!$F$63,'Cost Calculator'!$F$79)</c:f>
              <c:numCache>
                <c:ptCount val="4"/>
                <c:pt idx="0">
                  <c:v>195.48994623655912</c:v>
                </c:pt>
                <c:pt idx="1">
                  <c:v>293.46286290322575</c:v>
                </c:pt>
                <c:pt idx="2">
                  <c:v>827.39</c:v>
                </c:pt>
                <c:pt idx="3">
                  <c:v>1030.9825</c:v>
                </c:pt>
              </c:numCache>
            </c:numRef>
          </c:val>
        </c:ser>
        <c:axId val="60088394"/>
        <c:axId val="3924635"/>
      </c:barChart>
      <c:catAx>
        <c:axId val="60088394"/>
        <c:scaling>
          <c:orientation val="minMax"/>
        </c:scaling>
        <c:axPos val="b"/>
        <c:title>
          <c:tx>
            <c:rich>
              <a:bodyPr vert="horz" rot="0" anchor="ctr"/>
              <a:lstStyle/>
              <a:p>
                <a:pPr algn="ctr">
                  <a:defRPr/>
                </a:pPr>
                <a:r>
                  <a:rPr lang="en-US" cap="none" sz="1200" b="1" i="0" u="none" baseline="0">
                    <a:latin typeface="Arial"/>
                    <a:ea typeface="Arial"/>
                    <a:cs typeface="Arial"/>
                  </a:rPr>
                  <a:t>Approach
(Waste Disposition)</a:t>
                </a:r>
              </a:p>
            </c:rich>
          </c:tx>
          <c:layout/>
          <c:overlay val="0"/>
          <c:spPr>
            <a:noFill/>
            <a:ln>
              <a:noFill/>
            </a:ln>
          </c:spPr>
        </c:title>
        <c:delete val="0"/>
        <c:numFmt formatCode="General" sourceLinked="1"/>
        <c:majorTickMark val="out"/>
        <c:minorTickMark val="none"/>
        <c:tickLblPos val="nextTo"/>
        <c:txPr>
          <a:bodyPr/>
          <a:lstStyle/>
          <a:p>
            <a:pPr>
              <a:defRPr lang="en-US" cap="none" sz="1050" b="0" i="0" u="none" baseline="0">
                <a:latin typeface="Arial"/>
                <a:ea typeface="Arial"/>
                <a:cs typeface="Arial"/>
              </a:defRPr>
            </a:pPr>
          </a:p>
        </c:txPr>
        <c:crossAx val="3924635"/>
        <c:crosses val="autoZero"/>
        <c:auto val="1"/>
        <c:lblOffset val="100"/>
        <c:noMultiLvlLbl val="0"/>
      </c:catAx>
      <c:valAx>
        <c:axId val="3924635"/>
        <c:scaling>
          <c:orientation val="minMax"/>
        </c:scaling>
        <c:axPos val="l"/>
        <c:title>
          <c:tx>
            <c:rich>
              <a:bodyPr vert="horz" rot="-5400000" anchor="ctr"/>
              <a:lstStyle/>
              <a:p>
                <a:pPr algn="ctr">
                  <a:defRPr/>
                </a:pPr>
                <a:r>
                  <a:rPr lang="en-US" cap="none" sz="1200" b="1" i="0" u="none" baseline="0">
                    <a:latin typeface="Arial"/>
                    <a:ea typeface="Arial"/>
                    <a:cs typeface="Arial"/>
                  </a:rPr>
                  <a:t>Cost</a:t>
                </a:r>
              </a:p>
            </c:rich>
          </c:tx>
          <c:layout/>
          <c:overlay val="0"/>
          <c:spPr>
            <a:noFill/>
            <a:ln>
              <a:noFill/>
            </a:ln>
          </c:spPr>
        </c:title>
        <c:delete val="0"/>
        <c:numFmt formatCode="General" sourceLinked="1"/>
        <c:majorTickMark val="out"/>
        <c:minorTickMark val="none"/>
        <c:tickLblPos val="nextTo"/>
        <c:txPr>
          <a:bodyPr/>
          <a:lstStyle/>
          <a:p>
            <a:pPr>
              <a:defRPr lang="en-US" cap="none" sz="1050" b="0" i="0" u="none" baseline="0">
                <a:latin typeface="Arial"/>
                <a:ea typeface="Arial"/>
                <a:cs typeface="Arial"/>
              </a:defRPr>
            </a:pPr>
          </a:p>
        </c:txPr>
        <c:crossAx val="60088394"/>
        <c:crossesAt val="1"/>
        <c:crossBetween val="between"/>
        <c:dispUnits/>
      </c:valAx>
      <c:spPr>
        <a:noFill/>
        <a:ln>
          <a:noFill/>
        </a:ln>
      </c:spPr>
    </c:plotArea>
    <c:plotVisOnly val="1"/>
    <c:dispBlanksAs val="gap"/>
    <c:showDLblsOverMax val="0"/>
  </c:chart>
  <c:txPr>
    <a:bodyPr vert="horz" rot="0"/>
    <a:lstStyle/>
    <a:p>
      <a:pPr>
        <a:defRPr lang="en-US" cap="none" sz="1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Tons of Waste Recycled or Reused</a:t>
            </a:r>
          </a:p>
        </c:rich>
      </c:tx>
      <c:layout/>
      <c:spPr>
        <a:noFill/>
        <a:ln>
          <a:noFill/>
        </a:ln>
      </c:spPr>
    </c:title>
    <c:plotArea>
      <c:layout>
        <c:manualLayout>
          <c:xMode val="edge"/>
          <c:yMode val="edge"/>
          <c:x val="0.052"/>
          <c:y val="0.10275"/>
          <c:w val="0.9265"/>
          <c:h val="0.6575"/>
        </c:manualLayout>
      </c:layout>
      <c:lineChart>
        <c:grouping val="standard"/>
        <c:varyColors val="0"/>
        <c:ser>
          <c:idx val="0"/>
          <c:order val="0"/>
          <c:tx>
            <c:strRef>
              <c:f>'Cost Calculator'!$A$4</c:f>
              <c:strCache>
                <c:ptCount val="1"/>
                <c:pt idx="0">
                  <c:v>Maximum Reuse, then Recycle, Landfill Remaining Waste </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339966"/>
              </a:solidFill>
              <a:ln>
                <a:solidFill>
                  <a:srgbClr val="339966"/>
                </a:solidFill>
              </a:ln>
            </c:spPr>
          </c:marker>
          <c:cat>
            <c:strRef>
              <c:f>'Cost Calculator'!$B$4:$E$4</c:f>
              <c:strCache>
                <c:ptCount val="4"/>
                <c:pt idx="0">
                  <c:v>1 year</c:v>
                </c:pt>
                <c:pt idx="1">
                  <c:v>3 years</c:v>
                </c:pt>
                <c:pt idx="2">
                  <c:v>6 years</c:v>
                </c:pt>
                <c:pt idx="3">
                  <c:v>10 years</c:v>
                </c:pt>
              </c:strCache>
            </c:strRef>
          </c:cat>
          <c:val>
            <c:numRef>
              <c:f>'Quantified Env Benefits'!$B$186:$E$186</c:f>
              <c:numCache>
                <c:ptCount val="4"/>
                <c:pt idx="0">
                  <c:v>35500</c:v>
                </c:pt>
                <c:pt idx="1">
                  <c:v>106500</c:v>
                </c:pt>
                <c:pt idx="2">
                  <c:v>213000</c:v>
                </c:pt>
                <c:pt idx="3">
                  <c:v>355000</c:v>
                </c:pt>
              </c:numCache>
            </c:numRef>
          </c:val>
          <c:smooth val="0"/>
        </c:ser>
        <c:ser>
          <c:idx val="1"/>
          <c:order val="1"/>
          <c:tx>
            <c:strRef>
              <c:f>'Cost Calculator'!$A$27</c:f>
              <c:strCache>
                <c:ptCount val="1"/>
                <c:pt idx="0">
                  <c:v>Maximum Reuse, Landfill Remaining Waste</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FF"/>
              </a:solidFill>
              <a:ln>
                <a:solidFill>
                  <a:srgbClr val="0000FF"/>
                </a:solidFill>
              </a:ln>
            </c:spPr>
          </c:marker>
          <c:cat>
            <c:strRef>
              <c:f>'Cost Calculator'!$B$4:$E$4</c:f>
              <c:strCache>
                <c:ptCount val="4"/>
                <c:pt idx="0">
                  <c:v>1 year</c:v>
                </c:pt>
                <c:pt idx="1">
                  <c:v>3 years</c:v>
                </c:pt>
                <c:pt idx="2">
                  <c:v>6 years</c:v>
                </c:pt>
                <c:pt idx="3">
                  <c:v>10 years</c:v>
                </c:pt>
              </c:strCache>
            </c:strRef>
          </c:cat>
          <c:val>
            <c:numRef>
              <c:f>'Quantified Env Benefits'!$I$186:$L$186</c:f>
              <c:numCache>
                <c:ptCount val="4"/>
                <c:pt idx="0">
                  <c:v>18416.666666666668</c:v>
                </c:pt>
                <c:pt idx="1">
                  <c:v>55250</c:v>
                </c:pt>
                <c:pt idx="2">
                  <c:v>110500</c:v>
                </c:pt>
                <c:pt idx="3">
                  <c:v>184166.6666666667</c:v>
                </c:pt>
              </c:numCache>
            </c:numRef>
          </c:val>
          <c:smooth val="0"/>
        </c:ser>
        <c:ser>
          <c:idx val="2"/>
          <c:order val="2"/>
          <c:tx>
            <c:strRef>
              <c:f>'Cost Calculator'!$A$50</c:f>
              <c:strCache>
                <c:ptCount val="1"/>
                <c:pt idx="0">
                  <c:v>Recycle All Waste Where Facilities Exist</c:v>
                </c:pt>
              </c:strCache>
            </c:strRef>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9900"/>
              </a:solidFill>
              <a:ln>
                <a:solidFill>
                  <a:srgbClr val="FF9900"/>
                </a:solidFill>
              </a:ln>
            </c:spPr>
          </c:marker>
          <c:cat>
            <c:strRef>
              <c:f>'Cost Calculator'!$B$4:$E$4</c:f>
              <c:strCache>
                <c:ptCount val="4"/>
                <c:pt idx="0">
                  <c:v>1 year</c:v>
                </c:pt>
                <c:pt idx="1">
                  <c:v>3 years</c:v>
                </c:pt>
                <c:pt idx="2">
                  <c:v>6 years</c:v>
                </c:pt>
                <c:pt idx="3">
                  <c:v>10 years</c:v>
                </c:pt>
              </c:strCache>
            </c:strRef>
          </c:cat>
          <c:val>
            <c:numRef>
              <c:f>'Quantified Env Benefits'!$P$186:$S$186</c:f>
              <c:numCache>
                <c:ptCount val="4"/>
                <c:pt idx="0">
                  <c:v>35500</c:v>
                </c:pt>
                <c:pt idx="1">
                  <c:v>106500</c:v>
                </c:pt>
                <c:pt idx="2">
                  <c:v>213000</c:v>
                </c:pt>
                <c:pt idx="3">
                  <c:v>355000</c:v>
                </c:pt>
              </c:numCache>
            </c:numRef>
          </c:val>
          <c:smooth val="0"/>
        </c:ser>
        <c:marker val="1"/>
        <c:axId val="35321716"/>
        <c:axId val="49459989"/>
      </c:lineChart>
      <c:catAx>
        <c:axId val="35321716"/>
        <c:scaling>
          <c:orientation val="minMax"/>
        </c:scaling>
        <c:axPos val="b"/>
        <c:title>
          <c:tx>
            <c:rich>
              <a:bodyPr vert="horz" rot="0" anchor="ctr"/>
              <a:lstStyle/>
              <a:p>
                <a:pPr algn="ctr">
                  <a:defRPr/>
                </a:pPr>
                <a:r>
                  <a:rPr lang="en-US" cap="none" sz="950" b="1" i="0" u="none" baseline="0">
                    <a:latin typeface="Arial"/>
                    <a:ea typeface="Arial"/>
                    <a:cs typeface="Arial"/>
                  </a:rPr>
                  <a:t>Time</a:t>
                </a:r>
              </a:p>
            </c:rich>
          </c:tx>
          <c:layout>
            <c:manualLayout>
              <c:xMode val="factor"/>
              <c:yMode val="factor"/>
              <c:x val="0.00975"/>
              <c:y val="-0.00075"/>
            </c:manualLayout>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9459989"/>
        <c:crosses val="autoZero"/>
        <c:auto val="1"/>
        <c:lblOffset val="100"/>
        <c:noMultiLvlLbl val="0"/>
      </c:catAx>
      <c:valAx>
        <c:axId val="49459989"/>
        <c:scaling>
          <c:orientation val="minMax"/>
        </c:scaling>
        <c:axPos val="l"/>
        <c:title>
          <c:tx>
            <c:rich>
              <a:bodyPr vert="horz" rot="-5400000" anchor="ctr"/>
              <a:lstStyle/>
              <a:p>
                <a:pPr algn="ctr">
                  <a:defRPr/>
                </a:pPr>
                <a:r>
                  <a:rPr lang="en-US" cap="none" sz="950" b="1" i="0" u="none" baseline="0">
                    <a:latin typeface="Arial"/>
                    <a:ea typeface="Arial"/>
                    <a:cs typeface="Arial"/>
                  </a:rPr>
                  <a:t>Tons</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5321716"/>
        <c:crossesAt val="1"/>
        <c:crossBetween val="between"/>
        <c:dispUnits/>
      </c:valAx>
      <c:spPr>
        <a:noFill/>
        <a:ln>
          <a:noFill/>
        </a:ln>
      </c:spPr>
    </c:plotArea>
    <c:legend>
      <c:legendPos val="b"/>
      <c:layout>
        <c:manualLayout>
          <c:xMode val="edge"/>
          <c:yMode val="edge"/>
          <c:x val="0.06075"/>
          <c:y val="0.822"/>
          <c:w val="0.93925"/>
          <c:h val="0.178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Average Annual Energy Use Avoided (Over 10 Years)</a:t>
            </a:r>
          </a:p>
        </c:rich>
      </c:tx>
      <c:layout/>
      <c:spPr>
        <a:noFill/>
        <a:ln>
          <a:noFill/>
        </a:ln>
      </c:spPr>
    </c:title>
    <c:plotArea>
      <c:layout>
        <c:manualLayout>
          <c:xMode val="edge"/>
          <c:yMode val="edge"/>
          <c:x val="0.086"/>
          <c:y val="0.20025"/>
          <c:w val="0.89125"/>
          <c:h val="0.70325"/>
        </c:manualLayout>
      </c:layout>
      <c:barChart>
        <c:barDir val="col"/>
        <c:grouping val="clustered"/>
        <c:varyColors val="0"/>
        <c:ser>
          <c:idx val="0"/>
          <c:order val="0"/>
          <c:tx>
            <c:v>Average Annual Cost Over Next 10 Years</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('Cost Calculator'!$A$4,'Cost Calculator'!$A$27,'Cost Calculator'!$A$50,'Cost Calculator'!$A$66)</c:f>
              <c:strCache>
                <c:ptCount val="3"/>
                <c:pt idx="0">
                  <c:v>Maximum Reuse, then Recycle, Landfill Remaining Waste </c:v>
                </c:pt>
                <c:pt idx="1">
                  <c:v>Maximum Reuse, Landfill Remaining Waste</c:v>
                </c:pt>
                <c:pt idx="2">
                  <c:v>Recycle All Waste Where Facilities Exist</c:v>
                </c:pt>
              </c:strCache>
            </c:strRef>
          </c:cat>
          <c:val>
            <c:numRef>
              <c:f>('Quantified Env Benefits'!$G$202,'Quantified Env Benefits'!$N$202,'Quantified Env Benefits'!$T$187)</c:f>
              <c:numCache>
                <c:ptCount val="3"/>
                <c:pt idx="0">
                  <c:v>8454.750943028213</c:v>
                </c:pt>
                <c:pt idx="1">
                  <c:v>4168.5</c:v>
                </c:pt>
                <c:pt idx="2">
                  <c:v>8441.865943028215</c:v>
                </c:pt>
              </c:numCache>
            </c:numRef>
          </c:val>
        </c:ser>
        <c:axId val="42486718"/>
        <c:axId val="46836143"/>
      </c:barChart>
      <c:catAx>
        <c:axId val="42486718"/>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6836143"/>
        <c:crosses val="autoZero"/>
        <c:auto val="1"/>
        <c:lblOffset val="100"/>
        <c:noMultiLvlLbl val="0"/>
      </c:catAx>
      <c:valAx>
        <c:axId val="46836143"/>
        <c:scaling>
          <c:orientation val="minMax"/>
        </c:scaling>
        <c:axPos val="l"/>
        <c:title>
          <c:tx>
            <c:rich>
              <a:bodyPr vert="horz" rot="-5400000" anchor="ctr"/>
              <a:lstStyle/>
              <a:p>
                <a:pPr algn="ctr">
                  <a:defRPr/>
                </a:pPr>
                <a:r>
                  <a:rPr lang="en-US" cap="none" sz="800" b="1" i="0" u="none" baseline="0">
                    <a:latin typeface="Arial"/>
                    <a:ea typeface="Arial"/>
                    <a:cs typeface="Arial"/>
                  </a:rPr>
                  <a:t>Enery Avoided (MJ)</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2486718"/>
        <c:crossesAt val="1"/>
        <c:crossBetween val="between"/>
        <c:dispUnits/>
      </c:valAx>
      <c:spPr>
        <a:noFill/>
        <a:ln>
          <a:no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Average Annual Air Emissions Avoided (Over 10 Years)</a:t>
            </a:r>
          </a:p>
        </c:rich>
      </c:tx>
      <c:layout/>
      <c:spPr>
        <a:noFill/>
        <a:ln>
          <a:noFill/>
        </a:ln>
      </c:spPr>
    </c:title>
    <c:plotArea>
      <c:layout>
        <c:manualLayout>
          <c:xMode val="edge"/>
          <c:yMode val="edge"/>
          <c:x val="0.0855"/>
          <c:y val="0.2015"/>
          <c:w val="0.74075"/>
          <c:h val="0.5975"/>
        </c:manualLayout>
      </c:layout>
      <c:barChart>
        <c:barDir val="col"/>
        <c:grouping val="clustered"/>
        <c:varyColors val="0"/>
        <c:ser>
          <c:idx val="1"/>
          <c:order val="0"/>
          <c:tx>
            <c:v>CO</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Ref>
              <c:f>('Quantified Env Benefits'!$A$4,'Quantified Env Benefits'!$H$4,'Quantified Env Benefits'!$O$4)</c:f>
              <c:strCache>
                <c:ptCount val="3"/>
                <c:pt idx="0">
                  <c:v>Maximum Reuse, then Recycle, Landfill Remaining Waste</c:v>
                </c:pt>
                <c:pt idx="1">
                  <c:v>Maximum Reuse, Landfill Remaining Waste</c:v>
                </c:pt>
                <c:pt idx="2">
                  <c:v>Recycle All Waste Where Facilities Exist</c:v>
                </c:pt>
              </c:strCache>
            </c:strRef>
          </c:cat>
          <c:val>
            <c:numRef>
              <c:f>('Quantified Env Benefits'!$G$205,'Quantified Env Benefits'!$N$205,'Quantified Env Benefits'!$T$190)</c:f>
              <c:numCache>
                <c:ptCount val="3"/>
                <c:pt idx="0">
                  <c:v>2314.28403349814</c:v>
                </c:pt>
                <c:pt idx="1">
                  <c:v>2241.7850000000003</c:v>
                </c:pt>
                <c:pt idx="2">
                  <c:v>123.9148773020049</c:v>
                </c:pt>
              </c:numCache>
            </c:numRef>
          </c:val>
        </c:ser>
        <c:ser>
          <c:idx val="2"/>
          <c:order val="1"/>
          <c:tx>
            <c:v>VOC</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('Quantified Env Benefits'!$A$4,'Quantified Env Benefits'!$H$4,'Quantified Env Benefits'!$O$4)</c:f>
              <c:strCache>
                <c:ptCount val="3"/>
                <c:pt idx="0">
                  <c:v>Maximum Reuse, then Recycle, Landfill Remaining Waste</c:v>
                </c:pt>
                <c:pt idx="1">
                  <c:v>Maximum Reuse, Landfill Remaining Waste</c:v>
                </c:pt>
                <c:pt idx="2">
                  <c:v>Recycle All Waste Where Facilities Exist</c:v>
                </c:pt>
              </c:strCache>
            </c:strRef>
          </c:cat>
          <c:val>
            <c:numRef>
              <c:f>('Quantified Env Benefits'!$G$206,'Quantified Env Benefits'!$N$206,'Quantified Env Benefits'!$T$191)</c:f>
              <c:numCache>
                <c:ptCount val="3"/>
                <c:pt idx="0">
                  <c:v>435.1615328177448</c:v>
                </c:pt>
                <c:pt idx="1">
                  <c:v>408.65</c:v>
                </c:pt>
                <c:pt idx="2">
                  <c:v>53.02306563548943</c:v>
                </c:pt>
              </c:numCache>
            </c:numRef>
          </c:val>
        </c:ser>
        <c:ser>
          <c:idx val="3"/>
          <c:order val="2"/>
          <c:tx>
            <c:v>NOx</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Ref>
              <c:f>('Quantified Env Benefits'!$A$4,'Quantified Env Benefits'!$H$4,'Quantified Env Benefits'!$O$4)</c:f>
              <c:strCache>
                <c:ptCount val="3"/>
                <c:pt idx="0">
                  <c:v>Maximum Reuse, then Recycle, Landfill Remaining Waste</c:v>
                </c:pt>
                <c:pt idx="1">
                  <c:v>Maximum Reuse, Landfill Remaining Waste</c:v>
                </c:pt>
                <c:pt idx="2">
                  <c:v>Recycle All Waste Where Facilities Exist</c:v>
                </c:pt>
              </c:strCache>
            </c:strRef>
          </c:cat>
          <c:val>
            <c:numRef>
              <c:f>('Quantified Env Benefits'!$G$207,'Quantified Env Benefits'!$N$207,'Quantified Env Benefits'!$T$192)</c:f>
              <c:numCache>
                <c:ptCount val="3"/>
                <c:pt idx="0">
                  <c:v>5037.4241086818465</c:v>
                </c:pt>
                <c:pt idx="1">
                  <c:v>4611.5</c:v>
                </c:pt>
                <c:pt idx="2">
                  <c:v>801.7711058695455</c:v>
                </c:pt>
              </c:numCache>
            </c:numRef>
          </c:val>
        </c:ser>
        <c:ser>
          <c:idx val="4"/>
          <c:order val="3"/>
          <c:tx>
            <c:v>SO2</c:v>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cat>
            <c:strRef>
              <c:f>('Quantified Env Benefits'!$A$4,'Quantified Env Benefits'!$H$4,'Quantified Env Benefits'!$O$4)</c:f>
              <c:strCache>
                <c:ptCount val="3"/>
                <c:pt idx="0">
                  <c:v>Maximum Reuse, then Recycle, Landfill Remaining Waste</c:v>
                </c:pt>
                <c:pt idx="1">
                  <c:v>Maximum Reuse, Landfill Remaining Waste</c:v>
                </c:pt>
                <c:pt idx="2">
                  <c:v>Recycle All Waste Where Facilities Exist</c:v>
                </c:pt>
              </c:strCache>
            </c:strRef>
          </c:cat>
          <c:val>
            <c:numRef>
              <c:f>('Quantified Env Benefits'!$G$208,'Quantified Env Benefits'!$N$208,'Quantified Env Benefits'!$T$193)</c:f>
              <c:numCache>
                <c:ptCount val="3"/>
                <c:pt idx="0">
                  <c:v>5187.920424793613</c:v>
                </c:pt>
                <c:pt idx="1">
                  <c:v>2895.475</c:v>
                </c:pt>
                <c:pt idx="2">
                  <c:v>4540.619780005443</c:v>
                </c:pt>
              </c:numCache>
            </c:numRef>
          </c:val>
        </c:ser>
        <c:ser>
          <c:idx val="5"/>
          <c:order val="4"/>
          <c:tx>
            <c:v>PM</c:v>
          </c:tx>
          <c:spPr>
            <a:solidFill>
              <a:srgbClr val="993300"/>
            </a:solidFill>
          </c:spPr>
          <c:invertIfNegative val="0"/>
          <c:extLst>
            <c:ext xmlns:c14="http://schemas.microsoft.com/office/drawing/2007/8/2/chart" uri="{6F2FDCE9-48DA-4B69-8628-5D25D57E5C99}">
              <c14:invertSolidFillFmt>
                <c14:spPr>
                  <a:solidFill>
                    <a:srgbClr val="FFFFFF"/>
                  </a:solidFill>
                </c14:spPr>
              </c14:invertSolidFillFmt>
            </c:ext>
          </c:extLst>
          <c:cat>
            <c:strRef>
              <c:f>('Quantified Env Benefits'!$A$4,'Quantified Env Benefits'!$H$4,'Quantified Env Benefits'!$O$4)</c:f>
              <c:strCache>
                <c:ptCount val="3"/>
                <c:pt idx="0">
                  <c:v>Maximum Reuse, then Recycle, Landfill Remaining Waste</c:v>
                </c:pt>
                <c:pt idx="1">
                  <c:v>Maximum Reuse, Landfill Remaining Waste</c:v>
                </c:pt>
                <c:pt idx="2">
                  <c:v>Recycle All Waste Where Facilities Exist</c:v>
                </c:pt>
              </c:strCache>
            </c:strRef>
          </c:cat>
          <c:val>
            <c:numRef>
              <c:f>('Quantified Env Benefits'!$G$209,'Quantified Env Benefits'!$N$209,'Quantified Env Benefits'!$T$194)</c:f>
              <c:numCache>
                <c:ptCount val="3"/>
                <c:pt idx="0">
                  <c:v>3323.043907284768</c:v>
                </c:pt>
                <c:pt idx="1">
                  <c:v>1726.33</c:v>
                </c:pt>
                <c:pt idx="2">
                  <c:v>3189.9079016601654</c:v>
                </c:pt>
              </c:numCache>
            </c:numRef>
          </c:val>
        </c:ser>
        <c:axId val="18872104"/>
        <c:axId val="35631209"/>
      </c:barChart>
      <c:catAx>
        <c:axId val="18872104"/>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5631209"/>
        <c:crosses val="autoZero"/>
        <c:auto val="1"/>
        <c:lblOffset val="100"/>
        <c:noMultiLvlLbl val="0"/>
      </c:catAx>
      <c:valAx>
        <c:axId val="35631209"/>
        <c:scaling>
          <c:orientation val="minMax"/>
        </c:scaling>
        <c:axPos val="l"/>
        <c:title>
          <c:tx>
            <c:rich>
              <a:bodyPr vert="horz" rot="-5400000" anchor="ctr"/>
              <a:lstStyle/>
              <a:p>
                <a:pPr algn="ctr">
                  <a:defRPr/>
                </a:pPr>
                <a:r>
                  <a:rPr lang="en-US" cap="none" sz="800" b="1" i="0" u="none" baseline="0">
                    <a:latin typeface="Arial"/>
                    <a:ea typeface="Arial"/>
                    <a:cs typeface="Arial"/>
                  </a:rPr>
                  <a:t>Emissions Avoided (grams)</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8872104"/>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Average Annual Greenhouse Gas Emissions Avoided (Over 10 Years)</a:t>
            </a:r>
          </a:p>
        </c:rich>
      </c:tx>
      <c:layout/>
      <c:spPr>
        <a:noFill/>
        <a:ln>
          <a:noFill/>
        </a:ln>
      </c:spPr>
    </c:title>
    <c:plotArea>
      <c:layout>
        <c:manualLayout>
          <c:xMode val="edge"/>
          <c:yMode val="edge"/>
          <c:x val="0.08625"/>
          <c:y val="0.18575"/>
          <c:w val="0.891"/>
          <c:h val="0.71875"/>
        </c:manualLayout>
      </c:layout>
      <c:barChart>
        <c:barDir val="col"/>
        <c:grouping val="clustered"/>
        <c:varyColors val="0"/>
        <c:ser>
          <c:idx val="0"/>
          <c:order val="0"/>
          <c:tx>
            <c:v>Average Annual Cost Over Next 10 Years</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('Cost Calculator'!$A$4,'Cost Calculator'!$A$27,'Cost Calculator'!$A$50,'Cost Calculator'!$A$66)</c:f>
              <c:strCache>
                <c:ptCount val="3"/>
                <c:pt idx="0">
                  <c:v>Maximum Reuse, then Recycle, Landfill Remaining Waste </c:v>
                </c:pt>
                <c:pt idx="1">
                  <c:v>Maximum Reuse, Landfill Remaining Waste</c:v>
                </c:pt>
                <c:pt idx="2">
                  <c:v>Recycle All Waste Where Facilities Exist</c:v>
                </c:pt>
              </c:strCache>
            </c:strRef>
          </c:cat>
          <c:val>
            <c:numRef>
              <c:f>('Quantified Env Benefits'!$G$204,'Quantified Env Benefits'!$N$204,'Quantified Env Benefits'!$T$189)</c:f>
              <c:numCache>
                <c:ptCount val="3"/>
                <c:pt idx="0">
                  <c:v>9738.13754698691</c:v>
                </c:pt>
                <c:pt idx="1">
                  <c:v>5142.556905146001</c:v>
                </c:pt>
                <c:pt idx="2">
                  <c:v>9147.06928368182</c:v>
                </c:pt>
              </c:numCache>
            </c:numRef>
          </c:val>
        </c:ser>
        <c:axId val="52245426"/>
        <c:axId val="446787"/>
      </c:barChart>
      <c:catAx>
        <c:axId val="52245426"/>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46787"/>
        <c:crosses val="autoZero"/>
        <c:auto val="1"/>
        <c:lblOffset val="100"/>
        <c:noMultiLvlLbl val="0"/>
      </c:catAx>
      <c:valAx>
        <c:axId val="446787"/>
        <c:scaling>
          <c:orientation val="minMax"/>
        </c:scaling>
        <c:axPos val="l"/>
        <c:title>
          <c:tx>
            <c:rich>
              <a:bodyPr vert="horz" rot="-5400000" anchor="ctr"/>
              <a:lstStyle/>
              <a:p>
                <a:pPr algn="ctr">
                  <a:defRPr/>
                </a:pPr>
                <a:r>
                  <a:rPr lang="en-US" cap="none" sz="800" b="1" i="0" u="none" baseline="0">
                    <a:latin typeface="Arial"/>
                    <a:ea typeface="Arial"/>
                    <a:cs typeface="Arial"/>
                  </a:rPr>
                  <a:t>Emissions Avoided (lbs. 
of CO2 equivalent)</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2245426"/>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Average Annual Water Conserved (Over 10 Years)</a:t>
            </a:r>
          </a:p>
        </c:rich>
      </c:tx>
      <c:layout/>
      <c:spPr>
        <a:noFill/>
        <a:ln>
          <a:noFill/>
        </a:ln>
      </c:spPr>
    </c:title>
    <c:plotArea>
      <c:layout>
        <c:manualLayout>
          <c:xMode val="edge"/>
          <c:yMode val="edge"/>
          <c:x val="0.08975"/>
          <c:y val="0.20325"/>
          <c:w val="0.88775"/>
          <c:h val="0.702"/>
        </c:manualLayout>
      </c:layout>
      <c:barChart>
        <c:barDir val="col"/>
        <c:grouping val="clustered"/>
        <c:varyColors val="0"/>
        <c:ser>
          <c:idx val="0"/>
          <c:order val="0"/>
          <c:tx>
            <c:v>Average Annual Cost Over Next 10 Years</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('Cost Calculator'!$A$4,'Cost Calculator'!$A$27,'Cost Calculator'!$A$50,'Cost Calculator'!$A$66)</c:f>
              <c:strCache>
                <c:ptCount val="3"/>
                <c:pt idx="0">
                  <c:v>Maximum Reuse, then Recycle, Landfill Remaining Waste </c:v>
                </c:pt>
                <c:pt idx="1">
                  <c:v>Maximum Reuse, Landfill Remaining Waste</c:v>
                </c:pt>
                <c:pt idx="2">
                  <c:v>Recycle All Waste Where Facilities Exist</c:v>
                </c:pt>
              </c:strCache>
            </c:strRef>
          </c:cat>
          <c:val>
            <c:numRef>
              <c:f>('Quantified Env Benefits'!$G$211,'Quantified Env Benefits'!$N$211,'Quantified Env Benefits'!$T$196)</c:f>
              <c:numCache>
                <c:ptCount val="3"/>
                <c:pt idx="0">
                  <c:v>320.93946442518717</c:v>
                </c:pt>
                <c:pt idx="1">
                  <c:v>47.25</c:v>
                </c:pt>
                <c:pt idx="2">
                  <c:v>320.93946442518717</c:v>
                </c:pt>
              </c:numCache>
            </c:numRef>
          </c:val>
        </c:ser>
        <c:axId val="4021084"/>
        <c:axId val="36189757"/>
      </c:barChart>
      <c:catAx>
        <c:axId val="4021084"/>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6189757"/>
        <c:crosses val="autoZero"/>
        <c:auto val="1"/>
        <c:lblOffset val="100"/>
        <c:noMultiLvlLbl val="0"/>
      </c:catAx>
      <c:valAx>
        <c:axId val="36189757"/>
        <c:scaling>
          <c:orientation val="minMax"/>
        </c:scaling>
        <c:axPos val="l"/>
        <c:title>
          <c:tx>
            <c:rich>
              <a:bodyPr vert="horz" rot="-5400000" anchor="ctr"/>
              <a:lstStyle/>
              <a:p>
                <a:pPr algn="ctr">
                  <a:defRPr/>
                </a:pPr>
                <a:r>
                  <a:rPr lang="en-US" cap="none" sz="800" b="1" i="0" u="none" baseline="0">
                    <a:latin typeface="Arial"/>
                    <a:ea typeface="Arial"/>
                    <a:cs typeface="Arial"/>
                  </a:rPr>
                  <a:t>Water Conserved (gallons)</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021084"/>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Average Annual RCRA Hazardous Waste Avoided (Over 10 Years)</a:t>
            </a:r>
          </a:p>
        </c:rich>
      </c:tx>
      <c:layout/>
      <c:spPr>
        <a:noFill/>
        <a:ln>
          <a:noFill/>
        </a:ln>
      </c:spPr>
    </c:title>
    <c:plotArea>
      <c:layout>
        <c:manualLayout>
          <c:xMode val="edge"/>
          <c:yMode val="edge"/>
          <c:x val="0.08575"/>
          <c:y val="0.1675"/>
          <c:w val="0.8915"/>
          <c:h val="0.73125"/>
        </c:manualLayout>
      </c:layout>
      <c:barChart>
        <c:barDir val="col"/>
        <c:grouping val="clustered"/>
        <c:varyColors val="0"/>
        <c:ser>
          <c:idx val="0"/>
          <c:order val="0"/>
          <c:tx>
            <c:v>Average Annual Cost Over Next 10 Years</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('Cost Calculator'!$A$4,'Cost Calculator'!$A$27,'Cost Calculator'!$A$50,'Cost Calculator'!$A$66)</c:f>
              <c:strCache>
                <c:ptCount val="3"/>
                <c:pt idx="0">
                  <c:v>Maximum Reuse, then Recycle, Landfill Remaining Waste </c:v>
                </c:pt>
                <c:pt idx="1">
                  <c:v>Maximum Reuse, Landfill Remaining Waste</c:v>
                </c:pt>
                <c:pt idx="2">
                  <c:v>Recycle All Waste Where Facilities Exist</c:v>
                </c:pt>
              </c:strCache>
            </c:strRef>
          </c:cat>
          <c:val>
            <c:numRef>
              <c:f>('Quantified Env Benefits'!$G$210,'Quantified Env Benefits'!$N$210,'Quantified Env Benefits'!$T$195)</c:f>
              <c:numCache>
                <c:ptCount val="3"/>
                <c:pt idx="0">
                  <c:v>0</c:v>
                </c:pt>
                <c:pt idx="1">
                  <c:v>0</c:v>
                </c:pt>
                <c:pt idx="2">
                  <c:v>0</c:v>
                </c:pt>
              </c:numCache>
            </c:numRef>
          </c:val>
        </c:ser>
        <c:axId val="57272358"/>
        <c:axId val="45689175"/>
      </c:barChart>
      <c:catAx>
        <c:axId val="57272358"/>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5689175"/>
        <c:crosses val="autoZero"/>
        <c:auto val="1"/>
        <c:lblOffset val="100"/>
        <c:noMultiLvlLbl val="0"/>
      </c:catAx>
      <c:valAx>
        <c:axId val="45689175"/>
        <c:scaling>
          <c:orientation val="minMax"/>
        </c:scaling>
        <c:axPos val="l"/>
        <c:title>
          <c:tx>
            <c:rich>
              <a:bodyPr vert="horz" rot="-5400000" anchor="ctr"/>
              <a:lstStyle/>
              <a:p>
                <a:pPr algn="ctr">
                  <a:defRPr/>
                </a:pPr>
                <a:r>
                  <a:rPr lang="en-US" cap="none" sz="800" b="1" i="0" u="none" baseline="0">
                    <a:latin typeface="Arial"/>
                    <a:ea typeface="Arial"/>
                    <a:cs typeface="Arial"/>
                  </a:rPr>
                  <a:t>Hazardous Waste 
Avoided (grams)</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7272358"/>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5.emf" /><Relationship Id="rId3" Type="http://schemas.openxmlformats.org/officeDocument/2006/relationships/image" Target="../media/image10.emf" /><Relationship Id="rId4" Type="http://schemas.openxmlformats.org/officeDocument/2006/relationships/image" Target="../media/image7.emf" /><Relationship Id="rId5" Type="http://schemas.openxmlformats.org/officeDocument/2006/relationships/image" Target="../media/image9.emf" /><Relationship Id="rId6" Type="http://schemas.openxmlformats.org/officeDocument/2006/relationships/image" Target="../media/image12.emf" /><Relationship Id="rId7" Type="http://schemas.openxmlformats.org/officeDocument/2006/relationships/image" Target="../media/image11.emf" /><Relationship Id="rId8" Type="http://schemas.openxmlformats.org/officeDocument/2006/relationships/image" Target="../media/image6.emf" /><Relationship Id="rId9" Type="http://schemas.openxmlformats.org/officeDocument/2006/relationships/image" Target="../media/image4.emf" /><Relationship Id="rId10" Type="http://schemas.openxmlformats.org/officeDocument/2006/relationships/image" Target="../media/image8.emf"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1.xml" /><Relationship Id="rId3"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 Id="rId6" Type="http://schemas.openxmlformats.org/officeDocument/2006/relationships/chart" Target="/xl/charts/chart7.xml" /><Relationship Id="rId7"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95250</xdr:colOff>
      <xdr:row>0</xdr:row>
      <xdr:rowOff>19050</xdr:rowOff>
    </xdr:from>
    <xdr:to>
      <xdr:col>8</xdr:col>
      <xdr:colOff>590550</xdr:colOff>
      <xdr:row>1</xdr:row>
      <xdr:rowOff>38100</xdr:rowOff>
    </xdr:to>
    <xdr:pic>
      <xdr:nvPicPr>
        <xdr:cNvPr id="1" name="Picture 1"/>
        <xdr:cNvPicPr preferRelativeResize="1">
          <a:picLocks noChangeAspect="1"/>
        </xdr:cNvPicPr>
      </xdr:nvPicPr>
      <xdr:blipFill>
        <a:blip r:embed="rId1"/>
        <a:stretch>
          <a:fillRect/>
        </a:stretch>
      </xdr:blipFill>
      <xdr:spPr>
        <a:xfrm>
          <a:off x="3752850" y="19050"/>
          <a:ext cx="1714500" cy="342900"/>
        </a:xfrm>
        <a:prstGeom prst="rect">
          <a:avLst/>
        </a:prstGeom>
        <a:noFill/>
        <a:ln w="9525" cmpd="sng">
          <a:noFill/>
        </a:ln>
      </xdr:spPr>
    </xdr:pic>
    <xdr:clientData/>
  </xdr:twoCellAnchor>
  <xdr:twoCellAnchor editAs="oneCell">
    <xdr:from>
      <xdr:col>2</xdr:col>
      <xdr:colOff>95250</xdr:colOff>
      <xdr:row>16</xdr:row>
      <xdr:rowOff>9525</xdr:rowOff>
    </xdr:from>
    <xdr:to>
      <xdr:col>6</xdr:col>
      <xdr:colOff>38100</xdr:colOff>
      <xdr:row>26</xdr:row>
      <xdr:rowOff>28575</xdr:rowOff>
    </xdr:to>
    <xdr:pic>
      <xdr:nvPicPr>
        <xdr:cNvPr id="2" name="Picture 2"/>
        <xdr:cNvPicPr preferRelativeResize="1">
          <a:picLocks noChangeAspect="1"/>
        </xdr:cNvPicPr>
      </xdr:nvPicPr>
      <xdr:blipFill>
        <a:blip r:embed="rId2"/>
        <a:stretch>
          <a:fillRect/>
        </a:stretch>
      </xdr:blipFill>
      <xdr:spPr>
        <a:xfrm>
          <a:off x="1314450" y="7210425"/>
          <a:ext cx="2381250" cy="1638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523875</xdr:colOff>
      <xdr:row>0</xdr:row>
      <xdr:rowOff>47625</xdr:rowOff>
    </xdr:from>
    <xdr:to>
      <xdr:col>17</xdr:col>
      <xdr:colOff>619125</xdr:colOff>
      <xdr:row>2</xdr:row>
      <xdr:rowOff>47625</xdr:rowOff>
    </xdr:to>
    <xdr:pic>
      <xdr:nvPicPr>
        <xdr:cNvPr id="1" name="Picture 1"/>
        <xdr:cNvPicPr preferRelativeResize="1">
          <a:picLocks noChangeAspect="1"/>
        </xdr:cNvPicPr>
      </xdr:nvPicPr>
      <xdr:blipFill>
        <a:blip r:embed="rId1"/>
        <a:stretch>
          <a:fillRect/>
        </a:stretch>
      </xdr:blipFill>
      <xdr:spPr>
        <a:xfrm>
          <a:off x="18916650" y="47625"/>
          <a:ext cx="1609725" cy="3238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857250</xdr:colOff>
      <xdr:row>0</xdr:row>
      <xdr:rowOff>28575</xdr:rowOff>
    </xdr:from>
    <xdr:to>
      <xdr:col>5</xdr:col>
      <xdr:colOff>2571750</xdr:colOff>
      <xdr:row>2</xdr:row>
      <xdr:rowOff>38100</xdr:rowOff>
    </xdr:to>
    <xdr:pic>
      <xdr:nvPicPr>
        <xdr:cNvPr id="1" name="Picture 1"/>
        <xdr:cNvPicPr preferRelativeResize="1">
          <a:picLocks noChangeAspect="1"/>
        </xdr:cNvPicPr>
      </xdr:nvPicPr>
      <xdr:blipFill>
        <a:blip r:embed="rId1"/>
        <a:stretch>
          <a:fillRect/>
        </a:stretch>
      </xdr:blipFill>
      <xdr:spPr>
        <a:xfrm>
          <a:off x="9305925" y="28575"/>
          <a:ext cx="1714500"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4276725</xdr:colOff>
      <xdr:row>0</xdr:row>
      <xdr:rowOff>28575</xdr:rowOff>
    </xdr:from>
    <xdr:to>
      <xdr:col>1</xdr:col>
      <xdr:colOff>666750</xdr:colOff>
      <xdr:row>2</xdr:row>
      <xdr:rowOff>9525</xdr:rowOff>
    </xdr:to>
    <xdr:pic>
      <xdr:nvPicPr>
        <xdr:cNvPr id="1" name="Picture 1"/>
        <xdr:cNvPicPr preferRelativeResize="1">
          <a:picLocks noChangeAspect="1"/>
        </xdr:cNvPicPr>
      </xdr:nvPicPr>
      <xdr:blipFill>
        <a:blip r:embed="rId1"/>
        <a:stretch>
          <a:fillRect/>
        </a:stretch>
      </xdr:blipFill>
      <xdr:spPr>
        <a:xfrm>
          <a:off x="4276725" y="28575"/>
          <a:ext cx="1533525" cy="304800"/>
        </a:xfrm>
        <a:prstGeom prst="rect">
          <a:avLst/>
        </a:prstGeom>
        <a:noFill/>
        <a:ln w="9525" cmpd="sng">
          <a:noFill/>
        </a:ln>
      </xdr:spPr>
    </xdr:pic>
    <xdr:clientData/>
  </xdr:twoCellAnchor>
  <xdr:twoCellAnchor editAs="oneCell">
    <xdr:from>
      <xdr:col>1</xdr:col>
      <xdr:colOff>0</xdr:colOff>
      <xdr:row>75</xdr:row>
      <xdr:rowOff>9525</xdr:rowOff>
    </xdr:from>
    <xdr:to>
      <xdr:col>2</xdr:col>
      <xdr:colOff>19050</xdr:colOff>
      <xdr:row>75</xdr:row>
      <xdr:rowOff>228600</xdr:rowOff>
    </xdr:to>
    <xdr:pic>
      <xdr:nvPicPr>
        <xdr:cNvPr id="2" name="Concrete"/>
        <xdr:cNvPicPr preferRelativeResize="1">
          <a:picLocks noChangeAspect="1"/>
        </xdr:cNvPicPr>
      </xdr:nvPicPr>
      <xdr:blipFill>
        <a:blip r:embed="rId2"/>
        <a:stretch>
          <a:fillRect/>
        </a:stretch>
      </xdr:blipFill>
      <xdr:spPr>
        <a:xfrm>
          <a:off x="5143500" y="12839700"/>
          <a:ext cx="695325" cy="219075"/>
        </a:xfrm>
        <a:prstGeom prst="rect">
          <a:avLst/>
        </a:prstGeom>
        <a:noFill/>
        <a:ln w="9525" cmpd="sng">
          <a:noFill/>
        </a:ln>
      </xdr:spPr>
    </xdr:pic>
    <xdr:clientData/>
  </xdr:twoCellAnchor>
  <xdr:twoCellAnchor editAs="oneCell">
    <xdr:from>
      <xdr:col>1</xdr:col>
      <xdr:colOff>0</xdr:colOff>
      <xdr:row>87</xdr:row>
      <xdr:rowOff>9525</xdr:rowOff>
    </xdr:from>
    <xdr:to>
      <xdr:col>2</xdr:col>
      <xdr:colOff>19050</xdr:colOff>
      <xdr:row>87</xdr:row>
      <xdr:rowOff>228600</xdr:rowOff>
    </xdr:to>
    <xdr:pic>
      <xdr:nvPicPr>
        <xdr:cNvPr id="3" name="Asphalt"/>
        <xdr:cNvPicPr preferRelativeResize="1">
          <a:picLocks noChangeAspect="1"/>
        </xdr:cNvPicPr>
      </xdr:nvPicPr>
      <xdr:blipFill>
        <a:blip r:embed="rId3"/>
        <a:stretch>
          <a:fillRect/>
        </a:stretch>
      </xdr:blipFill>
      <xdr:spPr>
        <a:xfrm>
          <a:off x="5143500" y="14868525"/>
          <a:ext cx="695325" cy="219075"/>
        </a:xfrm>
        <a:prstGeom prst="rect">
          <a:avLst/>
        </a:prstGeom>
        <a:noFill/>
        <a:ln w="9525" cmpd="sng">
          <a:noFill/>
        </a:ln>
      </xdr:spPr>
    </xdr:pic>
    <xdr:clientData/>
  </xdr:twoCellAnchor>
  <xdr:twoCellAnchor editAs="oneCell">
    <xdr:from>
      <xdr:col>1</xdr:col>
      <xdr:colOff>0</xdr:colOff>
      <xdr:row>47</xdr:row>
      <xdr:rowOff>9525</xdr:rowOff>
    </xdr:from>
    <xdr:to>
      <xdr:col>2</xdr:col>
      <xdr:colOff>19050</xdr:colOff>
      <xdr:row>47</xdr:row>
      <xdr:rowOff>228600</xdr:rowOff>
    </xdr:to>
    <xdr:pic>
      <xdr:nvPicPr>
        <xdr:cNvPr id="4" name="Brick"/>
        <xdr:cNvPicPr preferRelativeResize="1">
          <a:picLocks noChangeAspect="1"/>
        </xdr:cNvPicPr>
      </xdr:nvPicPr>
      <xdr:blipFill>
        <a:blip r:embed="rId4"/>
        <a:stretch>
          <a:fillRect/>
        </a:stretch>
      </xdr:blipFill>
      <xdr:spPr>
        <a:xfrm>
          <a:off x="5143500" y="8048625"/>
          <a:ext cx="695325" cy="219075"/>
        </a:xfrm>
        <a:prstGeom prst="rect">
          <a:avLst/>
        </a:prstGeom>
        <a:noFill/>
        <a:ln w="9525" cmpd="sng">
          <a:noFill/>
        </a:ln>
      </xdr:spPr>
    </xdr:pic>
    <xdr:clientData/>
  </xdr:twoCellAnchor>
  <xdr:twoCellAnchor editAs="oneCell">
    <xdr:from>
      <xdr:col>1</xdr:col>
      <xdr:colOff>0</xdr:colOff>
      <xdr:row>26</xdr:row>
      <xdr:rowOff>19050</xdr:rowOff>
    </xdr:from>
    <xdr:to>
      <xdr:col>2</xdr:col>
      <xdr:colOff>19050</xdr:colOff>
      <xdr:row>26</xdr:row>
      <xdr:rowOff>247650</xdr:rowOff>
    </xdr:to>
    <xdr:pic>
      <xdr:nvPicPr>
        <xdr:cNvPr id="5" name="Lumber"/>
        <xdr:cNvPicPr preferRelativeResize="1">
          <a:picLocks noChangeAspect="1"/>
        </xdr:cNvPicPr>
      </xdr:nvPicPr>
      <xdr:blipFill>
        <a:blip r:embed="rId5"/>
        <a:stretch>
          <a:fillRect/>
        </a:stretch>
      </xdr:blipFill>
      <xdr:spPr>
        <a:xfrm>
          <a:off x="5143500" y="4572000"/>
          <a:ext cx="695325" cy="228600"/>
        </a:xfrm>
        <a:prstGeom prst="rect">
          <a:avLst/>
        </a:prstGeom>
        <a:noFill/>
        <a:ln w="9525" cmpd="sng">
          <a:noFill/>
        </a:ln>
      </xdr:spPr>
    </xdr:pic>
    <xdr:clientData/>
  </xdr:twoCellAnchor>
  <xdr:twoCellAnchor editAs="oneCell">
    <xdr:from>
      <xdr:col>1</xdr:col>
      <xdr:colOff>0</xdr:colOff>
      <xdr:row>11</xdr:row>
      <xdr:rowOff>9525</xdr:rowOff>
    </xdr:from>
    <xdr:to>
      <xdr:col>2</xdr:col>
      <xdr:colOff>19050</xdr:colOff>
      <xdr:row>11</xdr:row>
      <xdr:rowOff>228600</xdr:rowOff>
    </xdr:to>
    <xdr:pic>
      <xdr:nvPicPr>
        <xdr:cNvPr id="6" name="Yardwaste"/>
        <xdr:cNvPicPr preferRelativeResize="1">
          <a:picLocks noChangeAspect="1"/>
        </xdr:cNvPicPr>
      </xdr:nvPicPr>
      <xdr:blipFill>
        <a:blip r:embed="rId6"/>
        <a:stretch>
          <a:fillRect/>
        </a:stretch>
      </xdr:blipFill>
      <xdr:spPr>
        <a:xfrm>
          <a:off x="5143500" y="2047875"/>
          <a:ext cx="695325" cy="219075"/>
        </a:xfrm>
        <a:prstGeom prst="rect">
          <a:avLst/>
        </a:prstGeom>
        <a:noFill/>
        <a:ln w="9525" cmpd="sng">
          <a:noFill/>
        </a:ln>
      </xdr:spPr>
    </xdr:pic>
    <xdr:clientData/>
  </xdr:twoCellAnchor>
  <xdr:twoCellAnchor editAs="oneCell">
    <xdr:from>
      <xdr:col>1</xdr:col>
      <xdr:colOff>0</xdr:colOff>
      <xdr:row>66</xdr:row>
      <xdr:rowOff>9525</xdr:rowOff>
    </xdr:from>
    <xdr:to>
      <xdr:col>2</xdr:col>
      <xdr:colOff>19050</xdr:colOff>
      <xdr:row>66</xdr:row>
      <xdr:rowOff>228600</xdr:rowOff>
    </xdr:to>
    <xdr:pic>
      <xdr:nvPicPr>
        <xdr:cNvPr id="7" name="Crusher"/>
        <xdr:cNvPicPr preferRelativeResize="1">
          <a:picLocks noChangeAspect="1"/>
        </xdr:cNvPicPr>
      </xdr:nvPicPr>
      <xdr:blipFill>
        <a:blip r:embed="rId7"/>
        <a:stretch>
          <a:fillRect/>
        </a:stretch>
      </xdr:blipFill>
      <xdr:spPr>
        <a:xfrm>
          <a:off x="5143500" y="11296650"/>
          <a:ext cx="695325" cy="219075"/>
        </a:xfrm>
        <a:prstGeom prst="rect">
          <a:avLst/>
        </a:prstGeom>
        <a:noFill/>
        <a:ln w="9525" cmpd="sng">
          <a:noFill/>
        </a:ln>
      </xdr:spPr>
    </xdr:pic>
    <xdr:clientData/>
  </xdr:twoCellAnchor>
  <xdr:twoCellAnchor editAs="oneCell">
    <xdr:from>
      <xdr:col>1</xdr:col>
      <xdr:colOff>0</xdr:colOff>
      <xdr:row>50</xdr:row>
      <xdr:rowOff>9525</xdr:rowOff>
    </xdr:from>
    <xdr:to>
      <xdr:col>2</xdr:col>
      <xdr:colOff>19050</xdr:colOff>
      <xdr:row>50</xdr:row>
      <xdr:rowOff>228600</xdr:rowOff>
    </xdr:to>
    <xdr:pic>
      <xdr:nvPicPr>
        <xdr:cNvPr id="8" name="BrickBuy"/>
        <xdr:cNvPicPr preferRelativeResize="1">
          <a:picLocks noChangeAspect="1"/>
        </xdr:cNvPicPr>
      </xdr:nvPicPr>
      <xdr:blipFill>
        <a:blip r:embed="rId8"/>
        <a:stretch>
          <a:fillRect/>
        </a:stretch>
      </xdr:blipFill>
      <xdr:spPr>
        <a:xfrm>
          <a:off x="5143500" y="8620125"/>
          <a:ext cx="695325" cy="219075"/>
        </a:xfrm>
        <a:prstGeom prst="rect">
          <a:avLst/>
        </a:prstGeom>
        <a:noFill/>
        <a:ln w="9525" cmpd="sng">
          <a:noFill/>
        </a:ln>
      </xdr:spPr>
    </xdr:pic>
    <xdr:clientData/>
  </xdr:twoCellAnchor>
  <xdr:twoCellAnchor editAs="oneCell">
    <xdr:from>
      <xdr:col>1</xdr:col>
      <xdr:colOff>0</xdr:colOff>
      <xdr:row>10</xdr:row>
      <xdr:rowOff>9525</xdr:rowOff>
    </xdr:from>
    <xdr:to>
      <xdr:col>2</xdr:col>
      <xdr:colOff>19050</xdr:colOff>
      <xdr:row>10</xdr:row>
      <xdr:rowOff>228600</xdr:rowOff>
    </xdr:to>
    <xdr:pic>
      <xdr:nvPicPr>
        <xdr:cNvPr id="9" name="LargeChipper"/>
        <xdr:cNvPicPr preferRelativeResize="1">
          <a:picLocks noChangeAspect="1"/>
        </xdr:cNvPicPr>
      </xdr:nvPicPr>
      <xdr:blipFill>
        <a:blip r:embed="rId9"/>
        <a:stretch>
          <a:fillRect/>
        </a:stretch>
      </xdr:blipFill>
      <xdr:spPr>
        <a:xfrm>
          <a:off x="5143500" y="1800225"/>
          <a:ext cx="695325" cy="219075"/>
        </a:xfrm>
        <a:prstGeom prst="rect">
          <a:avLst/>
        </a:prstGeom>
        <a:noFill/>
        <a:ln w="9525" cmpd="sng">
          <a:noFill/>
        </a:ln>
      </xdr:spPr>
    </xdr:pic>
    <xdr:clientData/>
  </xdr:twoCellAnchor>
  <xdr:twoCellAnchor editAs="oneCell">
    <xdr:from>
      <xdr:col>0</xdr:col>
      <xdr:colOff>3990975</xdr:colOff>
      <xdr:row>3</xdr:row>
      <xdr:rowOff>9525</xdr:rowOff>
    </xdr:from>
    <xdr:to>
      <xdr:col>0</xdr:col>
      <xdr:colOff>5143500</xdr:colOff>
      <xdr:row>3</xdr:row>
      <xdr:rowOff>247650</xdr:rowOff>
    </xdr:to>
    <xdr:pic>
      <xdr:nvPicPr>
        <xdr:cNvPr id="10" name="Region"/>
        <xdr:cNvPicPr preferRelativeResize="1">
          <a:picLocks noChangeAspect="1"/>
        </xdr:cNvPicPr>
      </xdr:nvPicPr>
      <xdr:blipFill>
        <a:blip r:embed="rId10"/>
        <a:stretch>
          <a:fillRect/>
        </a:stretch>
      </xdr:blipFill>
      <xdr:spPr>
        <a:xfrm>
          <a:off x="3990975" y="495300"/>
          <a:ext cx="1152525"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4</xdr:col>
      <xdr:colOff>762000</xdr:colOff>
      <xdr:row>2</xdr:row>
      <xdr:rowOff>38100</xdr:rowOff>
    </xdr:to>
    <xdr:pic>
      <xdr:nvPicPr>
        <xdr:cNvPr id="1" name="Picture 1"/>
        <xdr:cNvPicPr preferRelativeResize="1">
          <a:picLocks noChangeAspect="1"/>
        </xdr:cNvPicPr>
      </xdr:nvPicPr>
      <xdr:blipFill>
        <a:blip r:embed="rId1"/>
        <a:stretch>
          <a:fillRect/>
        </a:stretch>
      </xdr:blipFill>
      <xdr:spPr>
        <a:xfrm>
          <a:off x="3686175" y="38100"/>
          <a:ext cx="159067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857250</xdr:colOff>
      <xdr:row>0</xdr:row>
      <xdr:rowOff>28575</xdr:rowOff>
    </xdr:from>
    <xdr:to>
      <xdr:col>5</xdr:col>
      <xdr:colOff>2571750</xdr:colOff>
      <xdr:row>2</xdr:row>
      <xdr:rowOff>38100</xdr:rowOff>
    </xdr:to>
    <xdr:pic>
      <xdr:nvPicPr>
        <xdr:cNvPr id="1" name="Picture 1"/>
        <xdr:cNvPicPr preferRelativeResize="1">
          <a:picLocks noChangeAspect="1"/>
        </xdr:cNvPicPr>
      </xdr:nvPicPr>
      <xdr:blipFill>
        <a:blip r:embed="rId1"/>
        <a:stretch>
          <a:fillRect/>
        </a:stretch>
      </xdr:blipFill>
      <xdr:spPr>
        <a:xfrm>
          <a:off x="9572625" y="28575"/>
          <a:ext cx="1714500" cy="333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19050</xdr:rowOff>
    </xdr:from>
    <xdr:to>
      <xdr:col>11</xdr:col>
      <xdr:colOff>171450</xdr:colOff>
      <xdr:row>1</xdr:row>
      <xdr:rowOff>171450</xdr:rowOff>
    </xdr:to>
    <xdr:pic>
      <xdr:nvPicPr>
        <xdr:cNvPr id="1" name="Picture 2"/>
        <xdr:cNvPicPr preferRelativeResize="1">
          <a:picLocks noChangeAspect="1"/>
        </xdr:cNvPicPr>
      </xdr:nvPicPr>
      <xdr:blipFill>
        <a:blip r:embed="rId1"/>
        <a:stretch>
          <a:fillRect/>
        </a:stretch>
      </xdr:blipFill>
      <xdr:spPr>
        <a:xfrm>
          <a:off x="5276850" y="19050"/>
          <a:ext cx="1600200" cy="314325"/>
        </a:xfrm>
        <a:prstGeom prst="rect">
          <a:avLst/>
        </a:prstGeom>
        <a:noFill/>
        <a:ln w="9525" cmpd="sng">
          <a:noFill/>
        </a:ln>
      </xdr:spPr>
    </xdr:pic>
    <xdr:clientData/>
  </xdr:twoCellAnchor>
  <xdr:twoCellAnchor>
    <xdr:from>
      <xdr:col>0</xdr:col>
      <xdr:colOff>104775</xdr:colOff>
      <xdr:row>2</xdr:row>
      <xdr:rowOff>0</xdr:rowOff>
    </xdr:from>
    <xdr:to>
      <xdr:col>11</xdr:col>
      <xdr:colOff>190500</xdr:colOff>
      <xdr:row>21</xdr:row>
      <xdr:rowOff>57150</xdr:rowOff>
    </xdr:to>
    <xdr:graphicFrame>
      <xdr:nvGraphicFramePr>
        <xdr:cNvPr id="2" name="Chart 3"/>
        <xdr:cNvGraphicFramePr/>
      </xdr:nvGraphicFramePr>
      <xdr:xfrm>
        <a:off x="104775" y="400050"/>
        <a:ext cx="6791325" cy="3133725"/>
      </xdr:xfrm>
      <a:graphic>
        <a:graphicData uri="http://schemas.openxmlformats.org/drawingml/2006/chart">
          <c:chart xmlns:c="http://schemas.openxmlformats.org/drawingml/2006/chart" r:id="rId2"/>
        </a:graphicData>
      </a:graphic>
    </xdr:graphicFrame>
    <xdr:clientData/>
  </xdr:twoCellAnchor>
  <xdr:twoCellAnchor>
    <xdr:from>
      <xdr:col>0</xdr:col>
      <xdr:colOff>523875</xdr:colOff>
      <xdr:row>22</xdr:row>
      <xdr:rowOff>28575</xdr:rowOff>
    </xdr:from>
    <xdr:to>
      <xdr:col>10</xdr:col>
      <xdr:colOff>95250</xdr:colOff>
      <xdr:row>43</xdr:row>
      <xdr:rowOff>57150</xdr:rowOff>
    </xdr:to>
    <xdr:graphicFrame>
      <xdr:nvGraphicFramePr>
        <xdr:cNvPr id="3" name="Chart 4"/>
        <xdr:cNvGraphicFramePr/>
      </xdr:nvGraphicFramePr>
      <xdr:xfrm>
        <a:off x="523875" y="3667125"/>
        <a:ext cx="5667375" cy="342900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24</xdr:row>
      <xdr:rowOff>142875</xdr:rowOff>
    </xdr:from>
    <xdr:to>
      <xdr:col>8</xdr:col>
      <xdr:colOff>323850</xdr:colOff>
      <xdr:row>31</xdr:row>
      <xdr:rowOff>38100</xdr:rowOff>
    </xdr:to>
    <xdr:pic>
      <xdr:nvPicPr>
        <xdr:cNvPr id="1" name="Picture 1"/>
        <xdr:cNvPicPr preferRelativeResize="1">
          <a:picLocks noChangeAspect="1"/>
        </xdr:cNvPicPr>
      </xdr:nvPicPr>
      <xdr:blipFill>
        <a:blip r:embed="rId1"/>
        <a:stretch>
          <a:fillRect/>
        </a:stretch>
      </xdr:blipFill>
      <xdr:spPr>
        <a:xfrm>
          <a:off x="104775" y="5610225"/>
          <a:ext cx="5095875" cy="1028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561975</xdr:colOff>
      <xdr:row>0</xdr:row>
      <xdr:rowOff>57150</xdr:rowOff>
    </xdr:from>
    <xdr:to>
      <xdr:col>19</xdr:col>
      <xdr:colOff>19050</xdr:colOff>
      <xdr:row>2</xdr:row>
      <xdr:rowOff>66675</xdr:rowOff>
    </xdr:to>
    <xdr:pic>
      <xdr:nvPicPr>
        <xdr:cNvPr id="1" name="Picture 1"/>
        <xdr:cNvPicPr preferRelativeResize="1">
          <a:picLocks noChangeAspect="1"/>
        </xdr:cNvPicPr>
      </xdr:nvPicPr>
      <xdr:blipFill>
        <a:blip r:embed="rId1"/>
        <a:stretch>
          <a:fillRect/>
        </a:stretch>
      </xdr:blipFill>
      <xdr:spPr>
        <a:xfrm>
          <a:off x="13430250" y="57150"/>
          <a:ext cx="1600200" cy="3333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19050</xdr:colOff>
      <xdr:row>0</xdr:row>
      <xdr:rowOff>38100</xdr:rowOff>
    </xdr:from>
    <xdr:to>
      <xdr:col>14</xdr:col>
      <xdr:colOff>400050</xdr:colOff>
      <xdr:row>1</xdr:row>
      <xdr:rowOff>190500</xdr:rowOff>
    </xdr:to>
    <xdr:pic>
      <xdr:nvPicPr>
        <xdr:cNvPr id="1" name="Picture 1"/>
        <xdr:cNvPicPr preferRelativeResize="1">
          <a:picLocks noChangeAspect="1"/>
        </xdr:cNvPicPr>
      </xdr:nvPicPr>
      <xdr:blipFill>
        <a:blip r:embed="rId1"/>
        <a:stretch>
          <a:fillRect/>
        </a:stretch>
      </xdr:blipFill>
      <xdr:spPr>
        <a:xfrm>
          <a:off x="7334250" y="38100"/>
          <a:ext cx="1600200" cy="314325"/>
        </a:xfrm>
        <a:prstGeom prst="rect">
          <a:avLst/>
        </a:prstGeom>
        <a:noFill/>
        <a:ln w="9525" cmpd="sng">
          <a:noFill/>
        </a:ln>
      </xdr:spPr>
    </xdr:pic>
    <xdr:clientData/>
  </xdr:twoCellAnchor>
  <xdr:twoCellAnchor>
    <xdr:from>
      <xdr:col>0</xdr:col>
      <xdr:colOff>104775</xdr:colOff>
      <xdr:row>2</xdr:row>
      <xdr:rowOff>0</xdr:rowOff>
    </xdr:from>
    <xdr:to>
      <xdr:col>7</xdr:col>
      <xdr:colOff>152400</xdr:colOff>
      <xdr:row>21</xdr:row>
      <xdr:rowOff>57150</xdr:rowOff>
    </xdr:to>
    <xdr:graphicFrame>
      <xdr:nvGraphicFramePr>
        <xdr:cNvPr id="2" name="Chart 2"/>
        <xdr:cNvGraphicFramePr/>
      </xdr:nvGraphicFramePr>
      <xdr:xfrm>
        <a:off x="104775" y="400050"/>
        <a:ext cx="4314825" cy="3133725"/>
      </xdr:xfrm>
      <a:graphic>
        <a:graphicData uri="http://schemas.openxmlformats.org/drawingml/2006/chart">
          <c:chart xmlns:c="http://schemas.openxmlformats.org/drawingml/2006/chart" r:id="rId2"/>
        </a:graphicData>
      </a:graphic>
    </xdr:graphicFrame>
    <xdr:clientData/>
  </xdr:twoCellAnchor>
  <xdr:twoCellAnchor>
    <xdr:from>
      <xdr:col>7</xdr:col>
      <xdr:colOff>419100</xdr:colOff>
      <xdr:row>2</xdr:row>
      <xdr:rowOff>0</xdr:rowOff>
    </xdr:from>
    <xdr:to>
      <xdr:col>14</xdr:col>
      <xdr:colOff>400050</xdr:colOff>
      <xdr:row>21</xdr:row>
      <xdr:rowOff>76200</xdr:rowOff>
    </xdr:to>
    <xdr:graphicFrame>
      <xdr:nvGraphicFramePr>
        <xdr:cNvPr id="3" name="Chart 5"/>
        <xdr:cNvGraphicFramePr/>
      </xdr:nvGraphicFramePr>
      <xdr:xfrm>
        <a:off x="4686300" y="400050"/>
        <a:ext cx="4248150" cy="3152775"/>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22</xdr:row>
      <xdr:rowOff>0</xdr:rowOff>
    </xdr:from>
    <xdr:to>
      <xdr:col>7</xdr:col>
      <xdr:colOff>123825</xdr:colOff>
      <xdr:row>41</xdr:row>
      <xdr:rowOff>85725</xdr:rowOff>
    </xdr:to>
    <xdr:graphicFrame>
      <xdr:nvGraphicFramePr>
        <xdr:cNvPr id="4" name="Chart 6"/>
        <xdr:cNvGraphicFramePr/>
      </xdr:nvGraphicFramePr>
      <xdr:xfrm>
        <a:off x="114300" y="3638550"/>
        <a:ext cx="4276725" cy="3162300"/>
      </xdr:xfrm>
      <a:graphic>
        <a:graphicData uri="http://schemas.openxmlformats.org/drawingml/2006/chart">
          <c:chart xmlns:c="http://schemas.openxmlformats.org/drawingml/2006/chart" r:id="rId4"/>
        </a:graphicData>
      </a:graphic>
    </xdr:graphicFrame>
    <xdr:clientData/>
  </xdr:twoCellAnchor>
  <xdr:twoCellAnchor>
    <xdr:from>
      <xdr:col>7</xdr:col>
      <xdr:colOff>419100</xdr:colOff>
      <xdr:row>22</xdr:row>
      <xdr:rowOff>19050</xdr:rowOff>
    </xdr:from>
    <xdr:to>
      <xdr:col>14</xdr:col>
      <xdr:colOff>438150</xdr:colOff>
      <xdr:row>41</xdr:row>
      <xdr:rowOff>114300</xdr:rowOff>
    </xdr:to>
    <xdr:graphicFrame>
      <xdr:nvGraphicFramePr>
        <xdr:cNvPr id="5" name="Chart 7"/>
        <xdr:cNvGraphicFramePr/>
      </xdr:nvGraphicFramePr>
      <xdr:xfrm>
        <a:off x="4686300" y="3657600"/>
        <a:ext cx="4286250" cy="3171825"/>
      </xdr:xfrm>
      <a:graphic>
        <a:graphicData uri="http://schemas.openxmlformats.org/drawingml/2006/chart">
          <c:chart xmlns:c="http://schemas.openxmlformats.org/drawingml/2006/chart" r:id="rId5"/>
        </a:graphicData>
      </a:graphic>
    </xdr:graphicFrame>
    <xdr:clientData/>
  </xdr:twoCellAnchor>
  <xdr:twoCellAnchor>
    <xdr:from>
      <xdr:col>0</xdr:col>
      <xdr:colOff>95250</xdr:colOff>
      <xdr:row>42</xdr:row>
      <xdr:rowOff>57150</xdr:rowOff>
    </xdr:from>
    <xdr:to>
      <xdr:col>7</xdr:col>
      <xdr:colOff>123825</xdr:colOff>
      <xdr:row>62</xdr:row>
      <xdr:rowOff>0</xdr:rowOff>
    </xdr:to>
    <xdr:graphicFrame>
      <xdr:nvGraphicFramePr>
        <xdr:cNvPr id="6" name="Chart 8"/>
        <xdr:cNvGraphicFramePr/>
      </xdr:nvGraphicFramePr>
      <xdr:xfrm>
        <a:off x="95250" y="6934200"/>
        <a:ext cx="4295775" cy="3181350"/>
      </xdr:xfrm>
      <a:graphic>
        <a:graphicData uri="http://schemas.openxmlformats.org/drawingml/2006/chart">
          <c:chart xmlns:c="http://schemas.openxmlformats.org/drawingml/2006/chart" r:id="rId6"/>
        </a:graphicData>
      </a:graphic>
    </xdr:graphicFrame>
    <xdr:clientData/>
  </xdr:twoCellAnchor>
  <xdr:twoCellAnchor>
    <xdr:from>
      <xdr:col>7</xdr:col>
      <xdr:colOff>419100</xdr:colOff>
      <xdr:row>42</xdr:row>
      <xdr:rowOff>47625</xdr:rowOff>
    </xdr:from>
    <xdr:to>
      <xdr:col>14</xdr:col>
      <xdr:colOff>457200</xdr:colOff>
      <xdr:row>62</xdr:row>
      <xdr:rowOff>0</xdr:rowOff>
    </xdr:to>
    <xdr:graphicFrame>
      <xdr:nvGraphicFramePr>
        <xdr:cNvPr id="7" name="Chart 9"/>
        <xdr:cNvGraphicFramePr/>
      </xdr:nvGraphicFramePr>
      <xdr:xfrm>
        <a:off x="4686300" y="6924675"/>
        <a:ext cx="4305300" cy="3190875"/>
      </xdr:xfrm>
      <a:graphic>
        <a:graphicData uri="http://schemas.openxmlformats.org/drawingml/2006/chart">
          <c:chart xmlns:c="http://schemas.openxmlformats.org/drawingml/2006/chart" r:id="rId7"/>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742950</xdr:colOff>
      <xdr:row>0</xdr:row>
      <xdr:rowOff>47625</xdr:rowOff>
    </xdr:from>
    <xdr:to>
      <xdr:col>17</xdr:col>
      <xdr:colOff>466725</xdr:colOff>
      <xdr:row>2</xdr:row>
      <xdr:rowOff>47625</xdr:rowOff>
    </xdr:to>
    <xdr:pic>
      <xdr:nvPicPr>
        <xdr:cNvPr id="1" name="Picture 1"/>
        <xdr:cNvPicPr preferRelativeResize="1">
          <a:picLocks noChangeAspect="1"/>
        </xdr:cNvPicPr>
      </xdr:nvPicPr>
      <xdr:blipFill>
        <a:blip r:embed="rId1"/>
        <a:stretch>
          <a:fillRect/>
        </a:stretch>
      </xdr:blipFill>
      <xdr:spPr>
        <a:xfrm>
          <a:off x="12201525" y="47625"/>
          <a:ext cx="1609725"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image" Target="../media/image13.png"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image" Target="../media/image22.png"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image" Target="../media/image23.png"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image" Target="../media/image14.png"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image" Target="../media/image15.png"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image" Target="../media/image16.png"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image" Target="../media/image17.png"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image" Target="../media/image18.png"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7.xml" /><Relationship Id="rId4" Type="http://schemas.openxmlformats.org/officeDocument/2006/relationships/image" Target="../media/image19.png"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image" Target="../media/image20.png"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9.xml" /><Relationship Id="rId4" Type="http://schemas.openxmlformats.org/officeDocument/2006/relationships/image" Target="../media/image21.png"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I15"/>
  <sheetViews>
    <sheetView showGridLines="0" workbookViewId="0" topLeftCell="A1">
      <selection activeCell="A1" sqref="A1:F1"/>
    </sheetView>
  </sheetViews>
  <sheetFormatPr defaultColWidth="9.140625" defaultRowHeight="12.75"/>
  <sheetData>
    <row r="1" spans="1:9" ht="25.5" customHeight="1">
      <c r="A1" s="339" t="s">
        <v>80</v>
      </c>
      <c r="B1" s="340"/>
      <c r="C1" s="340"/>
      <c r="D1" s="340"/>
      <c r="E1" s="340"/>
      <c r="F1" s="341"/>
      <c r="G1" s="17"/>
      <c r="H1" s="17"/>
      <c r="I1" s="43"/>
    </row>
    <row r="2" spans="1:9" ht="12.75">
      <c r="A2" s="18"/>
      <c r="B2" s="19"/>
      <c r="C2" s="19"/>
      <c r="D2" s="19"/>
      <c r="E2" s="19"/>
      <c r="F2" s="19"/>
      <c r="G2" s="19"/>
      <c r="H2" s="19"/>
      <c r="I2" s="21"/>
    </row>
    <row r="3" spans="1:9" ht="93.75" customHeight="1">
      <c r="A3" s="342" t="s">
        <v>111</v>
      </c>
      <c r="B3" s="343"/>
      <c r="C3" s="343"/>
      <c r="D3" s="343"/>
      <c r="E3" s="343"/>
      <c r="F3" s="343"/>
      <c r="G3" s="343"/>
      <c r="H3" s="343"/>
      <c r="I3" s="344"/>
    </row>
    <row r="4" spans="1:9" ht="5.25" customHeight="1">
      <c r="A4" s="44"/>
      <c r="B4" s="23"/>
      <c r="C4" s="23"/>
      <c r="D4" s="23"/>
      <c r="E4" s="23"/>
      <c r="F4" s="23"/>
      <c r="G4" s="23"/>
      <c r="H4" s="23"/>
      <c r="I4" s="24"/>
    </row>
    <row r="5" spans="1:9" ht="104.25" customHeight="1">
      <c r="A5" s="342" t="s">
        <v>95</v>
      </c>
      <c r="B5" s="343"/>
      <c r="C5" s="343"/>
      <c r="D5" s="343"/>
      <c r="E5" s="343"/>
      <c r="F5" s="343"/>
      <c r="G5" s="343"/>
      <c r="H5" s="343"/>
      <c r="I5" s="344"/>
    </row>
    <row r="6" spans="1:9" ht="6.75" customHeight="1">
      <c r="A6" s="44"/>
      <c r="B6" s="23"/>
      <c r="C6" s="23"/>
      <c r="D6" s="23"/>
      <c r="E6" s="23"/>
      <c r="F6" s="23"/>
      <c r="G6" s="23"/>
      <c r="H6" s="23"/>
      <c r="I6" s="24"/>
    </row>
    <row r="7" spans="1:9" ht="51" customHeight="1">
      <c r="A7" s="342" t="s">
        <v>392</v>
      </c>
      <c r="B7" s="343"/>
      <c r="C7" s="343"/>
      <c r="D7" s="343"/>
      <c r="E7" s="343"/>
      <c r="F7" s="343"/>
      <c r="G7" s="343"/>
      <c r="H7" s="343"/>
      <c r="I7" s="344"/>
    </row>
    <row r="8" spans="1:9" ht="9" customHeight="1">
      <c r="A8" s="18"/>
      <c r="B8" s="19"/>
      <c r="C8" s="19"/>
      <c r="D8" s="19"/>
      <c r="E8" s="19"/>
      <c r="F8" s="19"/>
      <c r="G8" s="19"/>
      <c r="H8" s="19"/>
      <c r="I8" s="21"/>
    </row>
    <row r="9" spans="1:9" ht="25.5" customHeight="1">
      <c r="A9" s="342" t="s">
        <v>71</v>
      </c>
      <c r="B9" s="343"/>
      <c r="C9" s="343"/>
      <c r="D9" s="343"/>
      <c r="E9" s="343"/>
      <c r="F9" s="343"/>
      <c r="G9" s="343"/>
      <c r="H9" s="343"/>
      <c r="I9" s="344"/>
    </row>
    <row r="10" spans="1:9" ht="4.5" customHeight="1">
      <c r="A10" s="337"/>
      <c r="B10" s="338"/>
      <c r="C10" s="338"/>
      <c r="D10" s="338"/>
      <c r="E10" s="338"/>
      <c r="F10" s="338"/>
      <c r="G10" s="338"/>
      <c r="H10" s="338"/>
      <c r="I10" s="333"/>
    </row>
    <row r="11" spans="1:9" ht="106.5" customHeight="1">
      <c r="A11" s="342" t="s">
        <v>289</v>
      </c>
      <c r="B11" s="324"/>
      <c r="C11" s="324"/>
      <c r="D11" s="324"/>
      <c r="E11" s="324"/>
      <c r="F11" s="324"/>
      <c r="G11" s="324"/>
      <c r="H11" s="324"/>
      <c r="I11" s="325"/>
    </row>
    <row r="12" spans="1:9" ht="3.75" customHeight="1">
      <c r="A12" s="44"/>
      <c r="B12" s="84"/>
      <c r="C12" s="84"/>
      <c r="D12" s="84"/>
      <c r="E12" s="84"/>
      <c r="F12" s="84"/>
      <c r="G12" s="84"/>
      <c r="H12" s="84"/>
      <c r="I12" s="24"/>
    </row>
    <row r="13" spans="1:9" ht="27" customHeight="1">
      <c r="A13" s="342" t="s">
        <v>268</v>
      </c>
      <c r="B13" s="324"/>
      <c r="C13" s="324"/>
      <c r="D13" s="324"/>
      <c r="E13" s="324"/>
      <c r="F13" s="324"/>
      <c r="G13" s="324"/>
      <c r="H13" s="324"/>
      <c r="I13" s="325"/>
    </row>
    <row r="14" spans="1:9" ht="46.5" customHeight="1">
      <c r="A14" s="342" t="s">
        <v>389</v>
      </c>
      <c r="B14" s="324"/>
      <c r="C14" s="324"/>
      <c r="D14" s="324"/>
      <c r="E14" s="324"/>
      <c r="F14" s="324"/>
      <c r="G14" s="324"/>
      <c r="H14" s="324"/>
      <c r="I14" s="325"/>
    </row>
    <row r="15" spans="1:9" ht="32.25" customHeight="1">
      <c r="A15" s="334" t="s">
        <v>3</v>
      </c>
      <c r="B15" s="335"/>
      <c r="C15" s="335"/>
      <c r="D15" s="335"/>
      <c r="E15" s="335"/>
      <c r="F15" s="335"/>
      <c r="G15" s="335"/>
      <c r="H15" s="335"/>
      <c r="I15" s="336"/>
    </row>
  </sheetData>
  <sheetProtection sheet="1" objects="1" scenarios="1"/>
  <mergeCells count="10">
    <mergeCell ref="A1:F1"/>
    <mergeCell ref="A7:I7"/>
    <mergeCell ref="A9:I9"/>
    <mergeCell ref="A15:I15"/>
    <mergeCell ref="A3:I3"/>
    <mergeCell ref="A5:I5"/>
    <mergeCell ref="A10:I10"/>
    <mergeCell ref="A11:I11"/>
    <mergeCell ref="A13:I13"/>
    <mergeCell ref="A14:I14"/>
  </mergeCells>
  <printOptions/>
  <pageMargins left="0.75" right="0.75" top="1" bottom="1" header="0.5" footer="0.5"/>
  <pageSetup fitToHeight="1" fitToWidth="1" horizontalDpi="600" verticalDpi="600" orientation="portrait" scale="98" r:id="rId3"/>
  <drawing r:id="rId1"/>
  <picture r:id="rId2"/>
</worksheet>
</file>

<file path=xl/worksheets/sheet10.xml><?xml version="1.0" encoding="utf-8"?>
<worksheet xmlns="http://schemas.openxmlformats.org/spreadsheetml/2006/main" xmlns:r="http://schemas.openxmlformats.org/officeDocument/2006/relationships">
  <sheetPr codeName="Sheet11">
    <pageSetUpPr fitToPage="1"/>
  </sheetPr>
  <dimension ref="A1:W73"/>
  <sheetViews>
    <sheetView showGridLines="0" workbookViewId="0" topLeftCell="A1">
      <selection activeCell="A1" sqref="A1:F1"/>
    </sheetView>
  </sheetViews>
  <sheetFormatPr defaultColWidth="9.140625" defaultRowHeight="12.75"/>
  <cols>
    <col min="1" max="1" width="27.140625" style="7" customWidth="1"/>
    <col min="2" max="2" width="14.140625" style="7" customWidth="1"/>
    <col min="3" max="3" width="14.421875" style="7" customWidth="1"/>
    <col min="4" max="4" width="25.57421875" style="7" customWidth="1"/>
    <col min="5" max="5" width="11.8515625" style="7" customWidth="1"/>
    <col min="6" max="6" width="27.8515625" style="7" customWidth="1"/>
    <col min="7" max="7" width="6.00390625" style="7" customWidth="1"/>
    <col min="8" max="8" width="19.8515625" style="7" bestFit="1" customWidth="1"/>
    <col min="9" max="9" width="22.00390625" style="7" customWidth="1"/>
    <col min="10" max="10" width="9.28125" style="7" customWidth="1"/>
    <col min="11" max="11" width="12.8515625" style="7" customWidth="1"/>
    <col min="12" max="12" width="38.7109375" style="7" customWidth="1"/>
    <col min="13" max="13" width="4.8515625" style="7" customWidth="1"/>
    <col min="14" max="14" width="19.8515625" style="7" customWidth="1"/>
    <col min="15" max="15" width="21.421875" style="7" customWidth="1"/>
    <col min="16" max="16" width="11.140625" style="7" customWidth="1"/>
    <col min="17" max="17" width="11.57421875" style="7" customWidth="1"/>
    <col min="18" max="18" width="38.7109375" style="7" customWidth="1"/>
    <col min="19" max="19" width="11.57421875" style="7" customWidth="1"/>
    <col min="20" max="20" width="15.140625" style="7" customWidth="1"/>
    <col min="21" max="23" width="9.7109375" style="7" customWidth="1"/>
    <col min="24" max="16384" width="9.140625" style="7" customWidth="1"/>
  </cols>
  <sheetData>
    <row r="1" spans="1:23" ht="12.75" customHeight="1">
      <c r="A1" s="329" t="s">
        <v>285</v>
      </c>
      <c r="B1" s="451"/>
      <c r="C1" s="451"/>
      <c r="D1" s="451"/>
      <c r="E1" s="451"/>
      <c r="F1" s="451"/>
      <c r="G1" s="244"/>
      <c r="H1" s="244"/>
      <c r="I1" s="244"/>
      <c r="U1" s="41"/>
      <c r="V1" s="41"/>
      <c r="W1" s="41"/>
    </row>
    <row r="2" spans="1:23" ht="12.75" customHeight="1">
      <c r="A2" s="243"/>
      <c r="B2" s="244"/>
      <c r="C2" s="244"/>
      <c r="D2" s="244"/>
      <c r="E2" s="244"/>
      <c r="F2" s="244"/>
      <c r="G2" s="244"/>
      <c r="H2" s="244"/>
      <c r="I2" s="244"/>
      <c r="U2" s="41"/>
      <c r="V2" s="41"/>
      <c r="W2" s="41"/>
    </row>
    <row r="3" spans="1:23" ht="25.5" customHeight="1">
      <c r="A3" s="454" t="s">
        <v>328</v>
      </c>
      <c r="B3" s="455"/>
      <c r="C3" s="455"/>
      <c r="D3" s="455"/>
      <c r="E3" s="455"/>
      <c r="F3" s="455"/>
      <c r="G3" s="244"/>
      <c r="H3" s="244"/>
      <c r="I3" s="244"/>
      <c r="U3" s="41"/>
      <c r="V3" s="41"/>
      <c r="W3" s="41"/>
    </row>
    <row r="4" spans="1:23" ht="12.75">
      <c r="A4" s="5"/>
      <c r="B4" s="5"/>
      <c r="C4" s="5"/>
      <c r="D4" s="5"/>
      <c r="E4" s="5"/>
      <c r="U4" s="5"/>
      <c r="V4" s="5"/>
      <c r="W4" s="5"/>
    </row>
    <row r="5" spans="1:23" ht="12.75">
      <c r="A5" s="271" t="s">
        <v>152</v>
      </c>
      <c r="B5" s="272"/>
      <c r="C5" s="272"/>
      <c r="D5" s="272"/>
      <c r="E5" s="272"/>
      <c r="U5" s="5"/>
      <c r="V5" s="5"/>
      <c r="W5" s="5"/>
    </row>
    <row r="6" spans="1:13" ht="12.75">
      <c r="A6" s="245" t="s">
        <v>290</v>
      </c>
      <c r="B6" s="180" t="s">
        <v>286</v>
      </c>
      <c r="C6" s="252" t="s">
        <v>287</v>
      </c>
      <c r="D6" s="252"/>
      <c r="E6" s="180" t="s">
        <v>287</v>
      </c>
      <c r="F6" s="282"/>
      <c r="G6" s="238"/>
      <c r="M6" s="238"/>
    </row>
    <row r="7" spans="1:19" ht="38.25" customHeight="1">
      <c r="A7" s="36" t="s">
        <v>293</v>
      </c>
      <c r="B7" s="209">
        <f>'Quantified Env Benefits'!G198</f>
        <v>18416.666666666668</v>
      </c>
      <c r="C7" s="253">
        <f>4.6*2.6</f>
        <v>11.959999999999999</v>
      </c>
      <c r="D7" s="273" t="s">
        <v>308</v>
      </c>
      <c r="E7" s="266">
        <f aca="true" t="shared" si="0" ref="E7:E18">B7/C7</f>
        <v>1539.8550724637682</v>
      </c>
      <c r="F7" s="283" t="s">
        <v>320</v>
      </c>
      <c r="G7" s="237"/>
      <c r="M7" s="237"/>
      <c r="S7" s="236" t="e">
        <f>F38/10</f>
        <v>#VALUE!</v>
      </c>
    </row>
    <row r="8" spans="1:19" ht="38.25" customHeight="1">
      <c r="A8" s="49" t="s">
        <v>294</v>
      </c>
      <c r="B8" s="209">
        <f>'Quantified Env Benefits'!G199</f>
        <v>17083.333333333332</v>
      </c>
      <c r="C8" s="253">
        <f>4.6*2.6</f>
        <v>11.959999999999999</v>
      </c>
      <c r="D8" s="273" t="s">
        <v>308</v>
      </c>
      <c r="E8" s="266">
        <f t="shared" si="0"/>
        <v>1428.3723522853957</v>
      </c>
      <c r="F8" s="283" t="s">
        <v>320</v>
      </c>
      <c r="G8" s="237"/>
      <c r="M8" s="237"/>
      <c r="S8" s="236"/>
    </row>
    <row r="9" spans="1:19" ht="38.25" customHeight="1" thickBot="1">
      <c r="A9" s="113" t="s">
        <v>295</v>
      </c>
      <c r="B9" s="209">
        <f>'Quantified Env Benefits'!G200</f>
        <v>0</v>
      </c>
      <c r="C9" s="253">
        <f>4.6*2.6</f>
        <v>11.959999999999999</v>
      </c>
      <c r="D9" s="273" t="s">
        <v>308</v>
      </c>
      <c r="E9" s="264">
        <f t="shared" si="0"/>
        <v>0</v>
      </c>
      <c r="F9" s="283" t="s">
        <v>320</v>
      </c>
      <c r="G9" s="237"/>
      <c r="M9" s="237"/>
      <c r="S9" s="236"/>
    </row>
    <row r="10" spans="1:19" ht="25.5" customHeight="1" thickBot="1">
      <c r="A10" s="216" t="s">
        <v>296</v>
      </c>
      <c r="B10" s="246">
        <f>'Quantified Env Benefits'!G202</f>
        <v>8454.750943028213</v>
      </c>
      <c r="C10" s="246">
        <f>11965*3.6/365</f>
        <v>118.01095890410959</v>
      </c>
      <c r="D10" s="274" t="s">
        <v>309</v>
      </c>
      <c r="E10" s="267">
        <f t="shared" si="0"/>
        <v>71.64377801470256</v>
      </c>
      <c r="F10" s="284" t="s">
        <v>327</v>
      </c>
      <c r="G10" s="237"/>
      <c r="M10" s="237"/>
      <c r="S10" s="236"/>
    </row>
    <row r="11" spans="1:19" ht="38.25" customHeight="1">
      <c r="A11" s="152" t="s">
        <v>297</v>
      </c>
      <c r="B11" s="220">
        <f>'Quantified Env Benefits'!G204</f>
        <v>9738.13754698691</v>
      </c>
      <c r="C11" s="220">
        <f>2204.623*5.46/365</f>
        <v>32.97874405479452</v>
      </c>
      <c r="D11" s="275" t="s">
        <v>326</v>
      </c>
      <c r="E11" s="265">
        <f t="shared" si="0"/>
        <v>295.2852762011463</v>
      </c>
      <c r="F11" s="285" t="s">
        <v>318</v>
      </c>
      <c r="G11" s="237"/>
      <c r="M11" s="237"/>
      <c r="S11" s="236" t="e">
        <f aca="true" t="shared" si="1" ref="S11:S18">F39/10</f>
        <v>#VALUE!</v>
      </c>
    </row>
    <row r="12" spans="1:19" ht="14.25">
      <c r="A12" s="36" t="s">
        <v>298</v>
      </c>
      <c r="B12" s="209">
        <f>'Quantified Env Benefits'!G205</f>
        <v>2314.28403349814</v>
      </c>
      <c r="C12" s="250">
        <v>14.2</v>
      </c>
      <c r="D12" s="276" t="s">
        <v>312</v>
      </c>
      <c r="E12" s="265">
        <f t="shared" si="0"/>
        <v>162.9777488378972</v>
      </c>
      <c r="F12" s="285" t="s">
        <v>321</v>
      </c>
      <c r="G12" s="237"/>
      <c r="M12" s="237"/>
      <c r="S12" s="236" t="e">
        <f t="shared" si="1"/>
        <v>#VALUE!</v>
      </c>
    </row>
    <row r="13" spans="1:19" ht="38.25" customHeight="1">
      <c r="A13" s="36" t="s">
        <v>299</v>
      </c>
      <c r="B13" s="209">
        <f>'Quantified Env Benefits'!G206</f>
        <v>435.1615328177448</v>
      </c>
      <c r="C13" s="248">
        <v>1.4</v>
      </c>
      <c r="D13" s="276" t="s">
        <v>313</v>
      </c>
      <c r="E13" s="265">
        <f t="shared" si="0"/>
        <v>310.82966629838916</v>
      </c>
      <c r="F13" s="285" t="s">
        <v>321</v>
      </c>
      <c r="G13" s="237"/>
      <c r="M13" s="237"/>
      <c r="S13" s="236" t="e">
        <f t="shared" si="1"/>
        <v>#VALUE!</v>
      </c>
    </row>
    <row r="14" spans="1:19" ht="25.5" customHeight="1">
      <c r="A14" s="36" t="s">
        <v>335</v>
      </c>
      <c r="B14" s="209">
        <f>'Quantified Env Benefits'!G207</f>
        <v>5037.4241086818465</v>
      </c>
      <c r="C14" s="220">
        <v>47.47123287671233</v>
      </c>
      <c r="D14" s="275" t="s">
        <v>325</v>
      </c>
      <c r="E14" s="265">
        <f t="shared" si="0"/>
        <v>106.11529980197807</v>
      </c>
      <c r="F14" s="285" t="s">
        <v>329</v>
      </c>
      <c r="G14" s="237"/>
      <c r="M14" s="237"/>
      <c r="S14" s="236" t="e">
        <f t="shared" si="1"/>
        <v>#VALUE!</v>
      </c>
    </row>
    <row r="15" spans="1:19" ht="15.75">
      <c r="A15" s="36" t="s">
        <v>334</v>
      </c>
      <c r="B15" s="209">
        <f>'Quantified Env Benefits'!G208</f>
        <v>5187.920424793613</v>
      </c>
      <c r="C15" s="220">
        <f>160673/365/24/60*2000/'Cost Data'!$D$46*1000</f>
        <v>277324.18075337424</v>
      </c>
      <c r="D15" s="275" t="s">
        <v>310</v>
      </c>
      <c r="E15" s="279">
        <f t="shared" si="0"/>
        <v>0.01870706121154021</v>
      </c>
      <c r="F15" s="285" t="s">
        <v>322</v>
      </c>
      <c r="G15" s="237"/>
      <c r="M15" s="237"/>
      <c r="S15" s="236" t="e">
        <f t="shared" si="1"/>
        <v>#VALUE!</v>
      </c>
    </row>
    <row r="16" spans="1:19" ht="38.25" customHeight="1" thickBot="1">
      <c r="A16" s="166" t="s">
        <v>300</v>
      </c>
      <c r="B16" s="247">
        <f>'Quantified Env Benefits'!G209</f>
        <v>3323.043907284768</v>
      </c>
      <c r="C16" s="254">
        <v>0.75</v>
      </c>
      <c r="D16" s="276" t="s">
        <v>314</v>
      </c>
      <c r="E16" s="264">
        <f t="shared" si="0"/>
        <v>4430.725209713024</v>
      </c>
      <c r="F16" s="286" t="s">
        <v>323</v>
      </c>
      <c r="G16" s="237"/>
      <c r="M16" s="237"/>
      <c r="S16" s="236" t="e">
        <f t="shared" si="1"/>
        <v>#VALUE!</v>
      </c>
    </row>
    <row r="17" spans="1:19" ht="38.25" customHeight="1">
      <c r="A17" s="219" t="s">
        <v>301</v>
      </c>
      <c r="B17" s="220">
        <f>'Quantified Env Benefits'!G210</f>
        <v>0</v>
      </c>
      <c r="C17" s="280">
        <v>0.7</v>
      </c>
      <c r="D17" s="277" t="s">
        <v>315</v>
      </c>
      <c r="E17" s="268">
        <f t="shared" si="0"/>
        <v>0</v>
      </c>
      <c r="F17" s="287" t="s">
        <v>316</v>
      </c>
      <c r="G17" s="237"/>
      <c r="M17" s="237"/>
      <c r="S17" s="236" t="e">
        <f t="shared" si="1"/>
        <v>#VALUE!</v>
      </c>
    </row>
    <row r="18" spans="1:19" ht="38.25" customHeight="1">
      <c r="A18" s="83" t="s">
        <v>302</v>
      </c>
      <c r="B18" s="209">
        <f>'Quantified Env Benefits'!G211</f>
        <v>320.93946442518717</v>
      </c>
      <c r="C18" s="209">
        <v>40</v>
      </c>
      <c r="D18" s="278" t="s">
        <v>311</v>
      </c>
      <c r="E18" s="266">
        <f t="shared" si="0"/>
        <v>8.023486610629678</v>
      </c>
      <c r="F18" s="281" t="s">
        <v>324</v>
      </c>
      <c r="G18" s="237"/>
      <c r="M18" s="237"/>
      <c r="S18" s="236" t="e">
        <f t="shared" si="1"/>
        <v>#VALUE!</v>
      </c>
    </row>
    <row r="19" spans="1:5" ht="12.75">
      <c r="A19" s="251" t="s">
        <v>75</v>
      </c>
      <c r="E19" s="269"/>
    </row>
    <row r="20" spans="1:6" ht="12.75">
      <c r="A20" s="245" t="s">
        <v>290</v>
      </c>
      <c r="B20" s="180" t="s">
        <v>286</v>
      </c>
      <c r="C20" s="252" t="s">
        <v>287</v>
      </c>
      <c r="D20" s="252"/>
      <c r="E20" s="270" t="s">
        <v>287</v>
      </c>
      <c r="F20" s="288"/>
    </row>
    <row r="21" spans="1:19" ht="38.25" customHeight="1">
      <c r="A21" s="36" t="s">
        <v>293</v>
      </c>
      <c r="B21" s="209">
        <f>'Quantified Env Benefits'!N198</f>
        <v>18416.666666666668</v>
      </c>
      <c r="C21" s="253">
        <f>4.6*2.6</f>
        <v>11.959999999999999</v>
      </c>
      <c r="D21" s="273" t="s">
        <v>308</v>
      </c>
      <c r="E21" s="266">
        <f aca="true" t="shared" si="2" ref="E21:E32">B21/C21</f>
        <v>1539.8550724637682</v>
      </c>
      <c r="F21" s="283" t="s">
        <v>320</v>
      </c>
      <c r="G21" s="237"/>
      <c r="M21" s="237"/>
      <c r="S21" s="236">
        <f>F53/10</f>
        <v>0</v>
      </c>
    </row>
    <row r="22" spans="1:19" ht="38.25" customHeight="1">
      <c r="A22" s="49" t="s">
        <v>294</v>
      </c>
      <c r="B22" s="209">
        <f>'Quantified Env Benefits'!N199</f>
        <v>0</v>
      </c>
      <c r="C22" s="253">
        <f>4.6*2.6</f>
        <v>11.959999999999999</v>
      </c>
      <c r="D22" s="273" t="s">
        <v>308</v>
      </c>
      <c r="E22" s="266">
        <f t="shared" si="2"/>
        <v>0</v>
      </c>
      <c r="F22" s="283" t="s">
        <v>320</v>
      </c>
      <c r="G22" s="237"/>
      <c r="M22" s="237"/>
      <c r="S22" s="236"/>
    </row>
    <row r="23" spans="1:19" ht="38.25" customHeight="1" thickBot="1">
      <c r="A23" s="113" t="s">
        <v>295</v>
      </c>
      <c r="B23" s="209">
        <f>'Quantified Env Benefits'!N200</f>
        <v>17083.333333333332</v>
      </c>
      <c r="C23" s="253">
        <f>4.6*2.6</f>
        <v>11.959999999999999</v>
      </c>
      <c r="D23" s="273" t="s">
        <v>308</v>
      </c>
      <c r="E23" s="264">
        <f t="shared" si="2"/>
        <v>1428.3723522853957</v>
      </c>
      <c r="F23" s="283" t="s">
        <v>320</v>
      </c>
      <c r="G23" s="237"/>
      <c r="M23" s="237"/>
      <c r="S23" s="236"/>
    </row>
    <row r="24" spans="1:6" ht="25.5" customHeight="1" thickBot="1">
      <c r="A24" s="214" t="s">
        <v>296</v>
      </c>
      <c r="B24" s="215">
        <f>'Quantified Env Benefits'!N202</f>
        <v>4168.5</v>
      </c>
      <c r="C24" s="246">
        <f>11965*3.6/365</f>
        <v>118.01095890410959</v>
      </c>
      <c r="D24" s="274" t="s">
        <v>309</v>
      </c>
      <c r="E24" s="267">
        <f t="shared" si="2"/>
        <v>35.32299066722385</v>
      </c>
      <c r="F24" s="284" t="s">
        <v>327</v>
      </c>
    </row>
    <row r="25" spans="1:6" ht="25.5">
      <c r="A25" s="219" t="s">
        <v>297</v>
      </c>
      <c r="B25" s="213">
        <f>'Quantified Env Benefits'!N204</f>
        <v>5142.556905146001</v>
      </c>
      <c r="C25" s="220">
        <f>2204.623*5.46/365</f>
        <v>32.97874405479452</v>
      </c>
      <c r="D25" s="275" t="s">
        <v>326</v>
      </c>
      <c r="E25" s="265">
        <f t="shared" si="2"/>
        <v>155.93549883529798</v>
      </c>
      <c r="F25" s="285" t="s">
        <v>318</v>
      </c>
    </row>
    <row r="26" spans="1:6" ht="14.25">
      <c r="A26" s="36" t="s">
        <v>298</v>
      </c>
      <c r="B26" s="209">
        <f>'Quantified Env Benefits'!N205</f>
        <v>2241.7850000000003</v>
      </c>
      <c r="C26" s="250">
        <v>14.2</v>
      </c>
      <c r="D26" s="276" t="s">
        <v>312</v>
      </c>
      <c r="E26" s="265">
        <f t="shared" si="2"/>
        <v>157.8721830985916</v>
      </c>
      <c r="F26" s="285" t="s">
        <v>321</v>
      </c>
    </row>
    <row r="27" spans="1:6" ht="14.25">
      <c r="A27" s="36" t="s">
        <v>299</v>
      </c>
      <c r="B27" s="209">
        <f>'Quantified Env Benefits'!N206</f>
        <v>408.65</v>
      </c>
      <c r="C27" s="248">
        <v>1.4</v>
      </c>
      <c r="D27" s="276" t="s">
        <v>313</v>
      </c>
      <c r="E27" s="265">
        <f t="shared" si="2"/>
        <v>291.89285714285717</v>
      </c>
      <c r="F27" s="285" t="s">
        <v>321</v>
      </c>
    </row>
    <row r="28" spans="1:6" ht="15.75">
      <c r="A28" s="36" t="s">
        <v>335</v>
      </c>
      <c r="B28" s="209">
        <f>'Quantified Env Benefits'!N207</f>
        <v>4611.5</v>
      </c>
      <c r="C28" s="220">
        <v>47.47123287671233</v>
      </c>
      <c r="D28" s="275" t="s">
        <v>325</v>
      </c>
      <c r="E28" s="265">
        <f t="shared" si="2"/>
        <v>97.1430426501991</v>
      </c>
      <c r="F28" s="285" t="s">
        <v>329</v>
      </c>
    </row>
    <row r="29" spans="1:6" ht="15.75">
      <c r="A29" s="36" t="s">
        <v>334</v>
      </c>
      <c r="B29" s="209">
        <f>'Quantified Env Benefits'!N208</f>
        <v>2895.475</v>
      </c>
      <c r="C29" s="220">
        <f>160673/365/24/60*2000/'Cost Data'!$D$46*1000</f>
        <v>277324.18075337424</v>
      </c>
      <c r="D29" s="275" t="s">
        <v>310</v>
      </c>
      <c r="E29" s="279">
        <f t="shared" si="2"/>
        <v>0.01044075923034984</v>
      </c>
      <c r="F29" s="285" t="s">
        <v>322</v>
      </c>
    </row>
    <row r="30" spans="1:6" ht="27.75" thickBot="1">
      <c r="A30" s="233" t="s">
        <v>300</v>
      </c>
      <c r="B30" s="247">
        <f>'Quantified Env Benefits'!N209</f>
        <v>1726.33</v>
      </c>
      <c r="C30" s="254">
        <v>0.75</v>
      </c>
      <c r="D30" s="276" t="s">
        <v>314</v>
      </c>
      <c r="E30" s="264">
        <f t="shared" si="2"/>
        <v>2301.773333333333</v>
      </c>
      <c r="F30" s="286" t="s">
        <v>323</v>
      </c>
    </row>
    <row r="31" spans="1:6" ht="25.5">
      <c r="A31" s="219" t="s">
        <v>301</v>
      </c>
      <c r="B31" s="213">
        <f>'Quantified Env Benefits'!N210</f>
        <v>0</v>
      </c>
      <c r="C31" s="280">
        <v>0.7</v>
      </c>
      <c r="D31" s="277" t="s">
        <v>315</v>
      </c>
      <c r="E31" s="268">
        <f t="shared" si="2"/>
        <v>0</v>
      </c>
      <c r="F31" s="287" t="s">
        <v>316</v>
      </c>
    </row>
    <row r="32" spans="1:6" ht="38.25" customHeight="1">
      <c r="A32" s="83" t="s">
        <v>302</v>
      </c>
      <c r="B32" s="209">
        <f>'Quantified Env Benefits'!N211</f>
        <v>47.25</v>
      </c>
      <c r="C32" s="209">
        <v>40</v>
      </c>
      <c r="D32" s="278" t="s">
        <v>311</v>
      </c>
      <c r="E32" s="266">
        <f t="shared" si="2"/>
        <v>1.18125</v>
      </c>
      <c r="F32" s="281" t="s">
        <v>324</v>
      </c>
    </row>
    <row r="33" spans="1:5" ht="12.75">
      <c r="A33" s="251" t="s">
        <v>280</v>
      </c>
      <c r="E33" s="269"/>
    </row>
    <row r="34" spans="1:6" ht="12.75">
      <c r="A34" s="245" t="s">
        <v>290</v>
      </c>
      <c r="B34" s="180" t="s">
        <v>286</v>
      </c>
      <c r="C34" s="252" t="s">
        <v>287</v>
      </c>
      <c r="D34" s="252"/>
      <c r="E34" s="270" t="s">
        <v>287</v>
      </c>
      <c r="F34" s="288"/>
    </row>
    <row r="35" spans="1:19" ht="38.25" customHeight="1">
      <c r="A35" s="36" t="s">
        <v>293</v>
      </c>
      <c r="B35" s="209">
        <f>'Quantified Env Benefits'!T183</f>
        <v>0</v>
      </c>
      <c r="C35" s="253">
        <f>4.6*2.6</f>
        <v>11.959999999999999</v>
      </c>
      <c r="D35" s="273" t="s">
        <v>308</v>
      </c>
      <c r="E35" s="266">
        <f aca="true" t="shared" si="3" ref="E35:E46">B35/C35</f>
        <v>0</v>
      </c>
      <c r="F35" s="283" t="s">
        <v>320</v>
      </c>
      <c r="G35" s="237"/>
      <c r="M35" s="237"/>
      <c r="S35" s="236">
        <f>F66/10</f>
        <v>0</v>
      </c>
    </row>
    <row r="36" spans="1:19" ht="38.25" customHeight="1">
      <c r="A36" s="49" t="s">
        <v>294</v>
      </c>
      <c r="B36" s="209">
        <f>'Quantified Env Benefits'!T184</f>
        <v>35500</v>
      </c>
      <c r="C36" s="253">
        <f>4.6*2.6</f>
        <v>11.959999999999999</v>
      </c>
      <c r="D36" s="273" t="s">
        <v>308</v>
      </c>
      <c r="E36" s="266">
        <f>B36/C36</f>
        <v>2968.227424749164</v>
      </c>
      <c r="F36" s="283" t="s">
        <v>320</v>
      </c>
      <c r="G36" s="237"/>
      <c r="M36" s="237"/>
      <c r="S36" s="236"/>
    </row>
    <row r="37" spans="1:19" ht="38.25" customHeight="1" thickBot="1">
      <c r="A37" s="113" t="s">
        <v>295</v>
      </c>
      <c r="B37" s="209">
        <f>'Quantified Env Benefits'!T185</f>
        <v>0</v>
      </c>
      <c r="C37" s="253">
        <f>4.6*2.6</f>
        <v>11.959999999999999</v>
      </c>
      <c r="D37" s="273" t="s">
        <v>308</v>
      </c>
      <c r="E37" s="264">
        <f t="shared" si="3"/>
        <v>0</v>
      </c>
      <c r="F37" s="283" t="s">
        <v>320</v>
      </c>
      <c r="G37" s="237"/>
      <c r="M37" s="237"/>
      <c r="S37" s="236"/>
    </row>
    <row r="38" spans="1:6" ht="25.5" customHeight="1" thickBot="1">
      <c r="A38" s="216" t="s">
        <v>296</v>
      </c>
      <c r="B38" s="215">
        <f>'Quantified Env Benefits'!T187</f>
        <v>8441.865943028215</v>
      </c>
      <c r="C38" s="246">
        <f>11965*3.6/365</f>
        <v>118.01095890410959</v>
      </c>
      <c r="D38" s="274" t="s">
        <v>309</v>
      </c>
      <c r="E38" s="267">
        <f t="shared" si="3"/>
        <v>71.53459323966426</v>
      </c>
      <c r="F38" s="284" t="s">
        <v>327</v>
      </c>
    </row>
    <row r="39" spans="1:6" ht="25.5">
      <c r="A39" s="249" t="s">
        <v>297</v>
      </c>
      <c r="B39" s="213">
        <f>'Quantified Env Benefits'!T189</f>
        <v>9147.06928368182</v>
      </c>
      <c r="C39" s="220">
        <f>2204.623*5.46/365</f>
        <v>32.97874405479452</v>
      </c>
      <c r="D39" s="275" t="s">
        <v>326</v>
      </c>
      <c r="E39" s="265">
        <f t="shared" si="3"/>
        <v>277.3625723430787</v>
      </c>
      <c r="F39" s="285" t="s">
        <v>318</v>
      </c>
    </row>
    <row r="40" spans="1:6" ht="14.25">
      <c r="A40" s="36" t="s">
        <v>298</v>
      </c>
      <c r="B40" s="209">
        <f>'Quantified Env Benefits'!T190</f>
        <v>123.9148773020049</v>
      </c>
      <c r="C40" s="250">
        <v>14.2</v>
      </c>
      <c r="D40" s="276" t="s">
        <v>312</v>
      </c>
      <c r="E40" s="265">
        <f t="shared" si="3"/>
        <v>8.726399810000345</v>
      </c>
      <c r="F40" s="285" t="s">
        <v>321</v>
      </c>
    </row>
    <row r="41" spans="1:6" ht="14.25">
      <c r="A41" s="36" t="s">
        <v>299</v>
      </c>
      <c r="B41" s="209">
        <f>'Quantified Env Benefits'!T191</f>
        <v>53.02306563548943</v>
      </c>
      <c r="C41" s="248">
        <v>1.4</v>
      </c>
      <c r="D41" s="276" t="s">
        <v>313</v>
      </c>
      <c r="E41" s="265">
        <f t="shared" si="3"/>
        <v>37.87361831106388</v>
      </c>
      <c r="F41" s="285" t="s">
        <v>321</v>
      </c>
    </row>
    <row r="42" spans="1:6" ht="15.75">
      <c r="A42" s="36" t="s">
        <v>335</v>
      </c>
      <c r="B42" s="209">
        <f>'Quantified Env Benefits'!T192</f>
        <v>801.7711058695455</v>
      </c>
      <c r="C42" s="220">
        <v>47.47123287671233</v>
      </c>
      <c r="D42" s="275" t="s">
        <v>325</v>
      </c>
      <c r="E42" s="265">
        <f t="shared" si="3"/>
        <v>16.88962045607342</v>
      </c>
      <c r="F42" s="285" t="s">
        <v>329</v>
      </c>
    </row>
    <row r="43" spans="1:6" ht="15.75">
      <c r="A43" s="36" t="s">
        <v>334</v>
      </c>
      <c r="B43" s="209">
        <f>'Quantified Env Benefits'!T193</f>
        <v>4540.619780005443</v>
      </c>
      <c r="C43" s="220">
        <f>160673/365/24/60*2000/'Cost Data'!$D$46*1000</f>
        <v>277324.18075337424</v>
      </c>
      <c r="D43" s="275" t="s">
        <v>310</v>
      </c>
      <c r="E43" s="279">
        <f t="shared" si="3"/>
        <v>0.016372967433530214</v>
      </c>
      <c r="F43" s="285" t="s">
        <v>322</v>
      </c>
    </row>
    <row r="44" spans="1:6" ht="27.75" thickBot="1">
      <c r="A44" s="166" t="s">
        <v>300</v>
      </c>
      <c r="B44" s="247">
        <f>'Quantified Env Benefits'!T194</f>
        <v>3189.9079016601654</v>
      </c>
      <c r="C44" s="254">
        <v>0.75</v>
      </c>
      <c r="D44" s="276" t="s">
        <v>314</v>
      </c>
      <c r="E44" s="264">
        <f t="shared" si="3"/>
        <v>4253.2105355468875</v>
      </c>
      <c r="F44" s="286" t="s">
        <v>323</v>
      </c>
    </row>
    <row r="45" spans="1:6" ht="25.5">
      <c r="A45" s="219" t="s">
        <v>301</v>
      </c>
      <c r="B45" s="213">
        <f>'Quantified Env Benefits'!T195</f>
        <v>0</v>
      </c>
      <c r="C45" s="280">
        <v>0.7</v>
      </c>
      <c r="D45" s="277" t="s">
        <v>315</v>
      </c>
      <c r="E45" s="268">
        <f t="shared" si="3"/>
        <v>0</v>
      </c>
      <c r="F45" s="287" t="s">
        <v>316</v>
      </c>
    </row>
    <row r="46" spans="1:6" ht="38.25" customHeight="1">
      <c r="A46" s="83" t="s">
        <v>302</v>
      </c>
      <c r="B46" s="209">
        <f>'Quantified Env Benefits'!T196</f>
        <v>320.93946442518717</v>
      </c>
      <c r="C46" s="209">
        <v>40</v>
      </c>
      <c r="D46" s="278" t="s">
        <v>311</v>
      </c>
      <c r="E46" s="266">
        <f t="shared" si="3"/>
        <v>8.023486610629678</v>
      </c>
      <c r="F46" s="281" t="s">
        <v>324</v>
      </c>
    </row>
    <row r="48" spans="1:6" ht="12.75">
      <c r="A48" s="450" t="s">
        <v>0</v>
      </c>
      <c r="B48" s="451"/>
      <c r="C48" s="451"/>
      <c r="D48" s="451"/>
      <c r="E48" s="451"/>
      <c r="F48" s="451"/>
    </row>
    <row r="49" spans="1:6" ht="25.5" customHeight="1">
      <c r="A49" s="347" t="s">
        <v>303</v>
      </c>
      <c r="B49" s="449"/>
      <c r="C49" s="449"/>
      <c r="D49" s="449"/>
      <c r="E49" s="449"/>
      <c r="F49" s="348"/>
    </row>
    <row r="50" spans="1:6" ht="12.75" customHeight="1">
      <c r="A50" s="347" t="s">
        <v>317</v>
      </c>
      <c r="B50" s="449"/>
      <c r="C50" s="449"/>
      <c r="D50" s="449"/>
      <c r="E50" s="449"/>
      <c r="F50" s="348"/>
    </row>
    <row r="51" spans="1:6" ht="25.5" customHeight="1">
      <c r="A51" s="347" t="s">
        <v>319</v>
      </c>
      <c r="B51" s="449"/>
      <c r="C51" s="449"/>
      <c r="D51" s="449"/>
      <c r="E51" s="449"/>
      <c r="F51" s="348"/>
    </row>
    <row r="52" spans="1:6" ht="25.5" customHeight="1">
      <c r="A52" s="347" t="s">
        <v>304</v>
      </c>
      <c r="B52" s="449"/>
      <c r="C52" s="449"/>
      <c r="D52" s="449"/>
      <c r="E52" s="449"/>
      <c r="F52" s="348"/>
    </row>
    <row r="53" spans="1:6" ht="12.75">
      <c r="A53" s="347" t="s">
        <v>305</v>
      </c>
      <c r="B53" s="449"/>
      <c r="C53" s="449"/>
      <c r="D53" s="449"/>
      <c r="E53" s="449"/>
      <c r="F53" s="348"/>
    </row>
    <row r="54" spans="1:6" ht="12.75">
      <c r="A54" s="347" t="s">
        <v>331</v>
      </c>
      <c r="B54" s="452"/>
      <c r="C54" s="452"/>
      <c r="D54" s="452"/>
      <c r="E54" s="452"/>
      <c r="F54" s="453"/>
    </row>
    <row r="55" spans="1:6" ht="25.5" customHeight="1">
      <c r="A55" s="347" t="s">
        <v>306</v>
      </c>
      <c r="B55" s="449"/>
      <c r="C55" s="449"/>
      <c r="D55" s="449"/>
      <c r="E55" s="449"/>
      <c r="F55" s="348"/>
    </row>
    <row r="56" spans="1:6" ht="25.5" customHeight="1">
      <c r="A56" s="347" t="s">
        <v>307</v>
      </c>
      <c r="B56" s="449"/>
      <c r="C56" s="449"/>
      <c r="D56" s="449"/>
      <c r="E56" s="449"/>
      <c r="F56" s="348"/>
    </row>
    <row r="57" spans="1:6" ht="25.5" customHeight="1">
      <c r="A57" s="347" t="s">
        <v>330</v>
      </c>
      <c r="B57" s="449"/>
      <c r="C57" s="449"/>
      <c r="D57" s="449"/>
      <c r="E57" s="449"/>
      <c r="F57" s="348"/>
    </row>
    <row r="58" ht="12.75" customHeight="1"/>
    <row r="73" ht="12.75">
      <c r="B73" s="7" t="s">
        <v>292</v>
      </c>
    </row>
  </sheetData>
  <sheetProtection sheet="1" objects="1" scenarios="1"/>
  <mergeCells count="12">
    <mergeCell ref="A3:F3"/>
    <mergeCell ref="A1:F1"/>
    <mergeCell ref="A49:F49"/>
    <mergeCell ref="A50:F50"/>
    <mergeCell ref="A55:F55"/>
    <mergeCell ref="A56:F56"/>
    <mergeCell ref="A48:F48"/>
    <mergeCell ref="A57:F57"/>
    <mergeCell ref="A51:F51"/>
    <mergeCell ref="A52:F52"/>
    <mergeCell ref="A53:F53"/>
    <mergeCell ref="A54:F54"/>
  </mergeCells>
  <printOptions horizontalCentered="1"/>
  <pageMargins left="0.75" right="0.75" top="1" bottom="1" header="0.5" footer="0.5"/>
  <pageSetup fitToHeight="2" fitToWidth="1" horizontalDpi="600" verticalDpi="600" orientation="portrait" scale="75" r:id="rId3"/>
  <drawing r:id="rId1"/>
  <picture r:id="rId2"/>
</worksheet>
</file>

<file path=xl/worksheets/sheet11.xml><?xml version="1.0" encoding="utf-8"?>
<worksheet xmlns="http://schemas.openxmlformats.org/spreadsheetml/2006/main" xmlns:r="http://schemas.openxmlformats.org/officeDocument/2006/relationships">
  <sheetPr codeName="Sheet12">
    <pageSetUpPr fitToPage="1"/>
  </sheetPr>
  <dimension ref="A1:F64"/>
  <sheetViews>
    <sheetView showGridLines="0" zoomScale="80" zoomScaleNormal="80" workbookViewId="0" topLeftCell="A1">
      <selection activeCell="A1" sqref="A1:E1"/>
    </sheetView>
  </sheetViews>
  <sheetFormatPr defaultColWidth="9.140625" defaultRowHeight="12.75"/>
  <cols>
    <col min="1" max="1" width="29.421875" style="1" customWidth="1"/>
    <col min="2" max="2" width="11.7109375" style="1" customWidth="1"/>
    <col min="3" max="3" width="17.7109375" style="1" customWidth="1"/>
    <col min="4" max="4" width="11.140625" style="10" customWidth="1"/>
    <col min="5" max="5" width="56.7109375" style="10" customWidth="1"/>
    <col min="6" max="6" width="38.7109375" style="1" customWidth="1"/>
    <col min="7" max="16384" width="9.140625" style="1" customWidth="1"/>
  </cols>
  <sheetData>
    <row r="1" spans="1:5" ht="12.75" customHeight="1">
      <c r="A1" s="356" t="s">
        <v>384</v>
      </c>
      <c r="B1" s="357"/>
      <c r="C1" s="357"/>
      <c r="D1" s="357"/>
      <c r="E1" s="456"/>
    </row>
    <row r="2" spans="1:2" ht="12.75" customHeight="1">
      <c r="A2" s="8"/>
      <c r="B2" s="4"/>
    </row>
    <row r="3" spans="1:5" ht="12.75" customHeight="1">
      <c r="A3" s="356" t="s">
        <v>385</v>
      </c>
      <c r="B3" s="357"/>
      <c r="C3" s="357"/>
      <c r="D3" s="357"/>
      <c r="E3" s="456"/>
    </row>
    <row r="4" spans="1:2" ht="12.75" customHeight="1">
      <c r="A4" s="8"/>
      <c r="B4" s="4"/>
    </row>
    <row r="5" spans="1:6" ht="12.75" customHeight="1">
      <c r="A5" s="291" t="s">
        <v>350</v>
      </c>
      <c r="B5" s="291" t="s">
        <v>351</v>
      </c>
      <c r="C5" s="291" t="s">
        <v>26</v>
      </c>
      <c r="D5" s="353" t="s">
        <v>352</v>
      </c>
      <c r="E5" s="361"/>
      <c r="F5" s="33" t="s">
        <v>353</v>
      </c>
    </row>
    <row r="6" spans="1:6" ht="12.75" customHeight="1">
      <c r="A6" s="292" t="s">
        <v>343</v>
      </c>
      <c r="B6" s="358" t="s">
        <v>11</v>
      </c>
      <c r="C6" s="107">
        <f>ROUND(70.53*B61,2)</f>
        <v>77.58</v>
      </c>
      <c r="D6" s="362" t="s">
        <v>354</v>
      </c>
      <c r="E6" s="363"/>
      <c r="F6" s="293" t="s">
        <v>355</v>
      </c>
    </row>
    <row r="7" spans="1:6" ht="12.75" customHeight="1">
      <c r="A7" s="292" t="s">
        <v>344</v>
      </c>
      <c r="B7" s="359"/>
      <c r="C7" s="321">
        <f>ROUND(46.29*B61,2)</f>
        <v>50.92</v>
      </c>
      <c r="D7" s="364"/>
      <c r="E7" s="365"/>
      <c r="F7" s="293" t="s">
        <v>356</v>
      </c>
    </row>
    <row r="8" spans="1:6" ht="12.75" customHeight="1">
      <c r="A8" s="292" t="s">
        <v>345</v>
      </c>
      <c r="B8" s="359"/>
      <c r="C8" s="318">
        <f>ROUND(30.97*B61,2)</f>
        <v>34.07</v>
      </c>
      <c r="D8" s="364"/>
      <c r="E8" s="365"/>
      <c r="F8" s="293" t="s">
        <v>357</v>
      </c>
    </row>
    <row r="9" spans="1:6" ht="12.75" customHeight="1">
      <c r="A9" s="292" t="s">
        <v>346</v>
      </c>
      <c r="B9" s="359"/>
      <c r="C9" s="107">
        <f>ROUND(34.96*B61,2)</f>
        <v>38.46</v>
      </c>
      <c r="D9" s="364"/>
      <c r="E9" s="365"/>
      <c r="F9" s="293" t="s">
        <v>358</v>
      </c>
    </row>
    <row r="10" spans="1:6" ht="12.75" customHeight="1">
      <c r="A10" s="292" t="s">
        <v>347</v>
      </c>
      <c r="B10" s="359"/>
      <c r="C10" s="107">
        <f>ROUND(24.06*B61,2)</f>
        <v>26.47</v>
      </c>
      <c r="D10" s="364"/>
      <c r="E10" s="365"/>
      <c r="F10" s="293" t="s">
        <v>359</v>
      </c>
    </row>
    <row r="11" spans="1:6" ht="12.75" customHeight="1">
      <c r="A11" s="292" t="s">
        <v>348</v>
      </c>
      <c r="B11" s="359"/>
      <c r="C11" s="107">
        <f>ROUND(37.74*B61,2)</f>
        <v>41.51</v>
      </c>
      <c r="D11" s="364"/>
      <c r="E11" s="365"/>
      <c r="F11" s="293" t="s">
        <v>360</v>
      </c>
    </row>
    <row r="12" spans="1:6" ht="12.75" customHeight="1">
      <c r="A12" s="292" t="s">
        <v>349</v>
      </c>
      <c r="B12" s="360"/>
      <c r="C12" s="107">
        <f>ROUND(34.29*B61,2)</f>
        <v>37.72</v>
      </c>
      <c r="D12" s="366"/>
      <c r="E12" s="367"/>
      <c r="F12" s="293" t="s">
        <v>361</v>
      </c>
    </row>
    <row r="13" spans="1:2" ht="12.75" customHeight="1">
      <c r="A13" s="8"/>
      <c r="B13" s="4"/>
    </row>
    <row r="14" spans="1:6" ht="38.25" customHeight="1">
      <c r="A14" s="62" t="s">
        <v>47</v>
      </c>
      <c r="B14" s="31" t="s">
        <v>1</v>
      </c>
      <c r="C14" s="32" t="s">
        <v>26</v>
      </c>
      <c r="D14" s="353" t="s">
        <v>0</v>
      </c>
      <c r="E14" s="353"/>
      <c r="F14" s="34" t="s">
        <v>2</v>
      </c>
    </row>
    <row r="15" spans="1:6" ht="25.5" customHeight="1">
      <c r="A15" s="28" t="s">
        <v>48</v>
      </c>
      <c r="B15" s="28" t="s">
        <v>77</v>
      </c>
      <c r="C15" s="320">
        <f>ROUND(55000*B59,2)</f>
        <v>64350</v>
      </c>
      <c r="D15" s="347" t="s">
        <v>61</v>
      </c>
      <c r="E15" s="348"/>
      <c r="F15" s="20"/>
    </row>
    <row r="16" spans="1:6" ht="51.75" customHeight="1">
      <c r="A16" s="28" t="s">
        <v>49</v>
      </c>
      <c r="B16" s="28" t="s">
        <v>11</v>
      </c>
      <c r="C16" s="107">
        <f>ROUND(6*B59,2)</f>
        <v>7.02</v>
      </c>
      <c r="D16" s="347" t="s">
        <v>61</v>
      </c>
      <c r="E16" s="348"/>
      <c r="F16" s="20"/>
    </row>
    <row r="17" spans="1:6" ht="12.75" customHeight="1">
      <c r="A17" s="28" t="s">
        <v>51</v>
      </c>
      <c r="B17" s="28" t="s">
        <v>11</v>
      </c>
      <c r="C17" s="107">
        <f>ROUND(0.5*B59,2)</f>
        <v>0.59</v>
      </c>
      <c r="D17" s="347" t="s">
        <v>61</v>
      </c>
      <c r="E17" s="348"/>
      <c r="F17" s="20"/>
    </row>
    <row r="18" spans="1:6" ht="12.75" customHeight="1">
      <c r="A18" s="98"/>
      <c r="B18" s="98"/>
      <c r="C18" s="58"/>
      <c r="D18" s="99"/>
      <c r="E18" s="99"/>
      <c r="F18" s="99"/>
    </row>
    <row r="19" spans="1:6" ht="51" customHeight="1">
      <c r="A19" s="62" t="s">
        <v>114</v>
      </c>
      <c r="B19" s="31" t="s">
        <v>1</v>
      </c>
      <c r="C19" s="32" t="s">
        <v>26</v>
      </c>
      <c r="D19" s="354" t="s">
        <v>0</v>
      </c>
      <c r="E19" s="354"/>
      <c r="F19" s="34" t="s">
        <v>2</v>
      </c>
    </row>
    <row r="20" spans="1:6" ht="38.25" customHeight="1">
      <c r="A20" s="28" t="s">
        <v>116</v>
      </c>
      <c r="B20" s="27" t="s">
        <v>121</v>
      </c>
      <c r="C20" s="107">
        <f>ROUND(25*B63,2)</f>
        <v>26</v>
      </c>
      <c r="D20" s="347" t="s">
        <v>128</v>
      </c>
      <c r="E20" s="355"/>
      <c r="F20" s="20" t="s">
        <v>147</v>
      </c>
    </row>
    <row r="21" spans="1:6" ht="25.5" customHeight="1">
      <c r="A21" s="28" t="s">
        <v>122</v>
      </c>
      <c r="B21" s="27" t="s">
        <v>125</v>
      </c>
      <c r="C21" s="319">
        <f>(1/(100*D45))/60</f>
        <v>0.053763440860215055</v>
      </c>
      <c r="D21" s="347" t="s">
        <v>133</v>
      </c>
      <c r="E21" s="355"/>
      <c r="F21" s="20" t="s">
        <v>146</v>
      </c>
    </row>
    <row r="22" spans="1:6" ht="25.5" customHeight="1">
      <c r="A22" s="28" t="s">
        <v>118</v>
      </c>
      <c r="B22" s="28" t="s">
        <v>129</v>
      </c>
      <c r="C22" s="107">
        <f>D30</f>
        <v>52.9104</v>
      </c>
      <c r="D22" s="347"/>
      <c r="E22" s="348"/>
      <c r="F22" s="20" t="s">
        <v>144</v>
      </c>
    </row>
    <row r="23" spans="1:6" ht="12.75" customHeight="1">
      <c r="A23" s="28" t="s">
        <v>132</v>
      </c>
      <c r="B23" s="27" t="s">
        <v>77</v>
      </c>
      <c r="C23" s="107">
        <f>ROUND(7999*B63,2)</f>
        <v>8318.96</v>
      </c>
      <c r="D23" s="347" t="s">
        <v>124</v>
      </c>
      <c r="E23" s="348"/>
      <c r="F23" s="20" t="s">
        <v>123</v>
      </c>
    </row>
    <row r="24" spans="1:6" ht="12.75" customHeight="1">
      <c r="A24" s="28" t="s">
        <v>148</v>
      </c>
      <c r="B24" s="27" t="s">
        <v>149</v>
      </c>
      <c r="C24" s="107">
        <f>C34-C21*(C20+C22)</f>
        <v>2.8875053763440857</v>
      </c>
      <c r="D24" s="347" t="s">
        <v>383</v>
      </c>
      <c r="E24" s="348"/>
      <c r="F24" s="20" t="s">
        <v>150</v>
      </c>
    </row>
    <row r="25" spans="1:6" ht="12.75" customHeight="1">
      <c r="A25" s="98"/>
      <c r="B25" s="98"/>
      <c r="C25" s="58"/>
      <c r="D25" s="99"/>
      <c r="E25" s="99"/>
      <c r="F25" s="99"/>
    </row>
    <row r="26" spans="1:6" ht="12.75" customHeight="1">
      <c r="A26" s="62" t="s">
        <v>134</v>
      </c>
      <c r="B26" s="31" t="s">
        <v>135</v>
      </c>
      <c r="C26" s="32" t="s">
        <v>136</v>
      </c>
      <c r="D26" s="103" t="s">
        <v>140</v>
      </c>
      <c r="E26" s="34" t="s">
        <v>34</v>
      </c>
      <c r="F26" s="34" t="s">
        <v>2</v>
      </c>
    </row>
    <row r="27" spans="1:6" ht="25.5" customHeight="1">
      <c r="A27" s="28" t="s">
        <v>137</v>
      </c>
      <c r="B27" s="315">
        <f>256*B63</f>
        <v>266.24</v>
      </c>
      <c r="C27" s="316">
        <v>10</v>
      </c>
      <c r="D27" s="317">
        <f>B27/C27</f>
        <v>26.624000000000002</v>
      </c>
      <c r="E27" s="350" t="s">
        <v>333</v>
      </c>
      <c r="F27" s="20" t="s">
        <v>145</v>
      </c>
    </row>
    <row r="28" spans="1:6" ht="38.25" customHeight="1">
      <c r="A28" s="28" t="s">
        <v>143</v>
      </c>
      <c r="B28" s="318">
        <f>3.8*6.6</f>
        <v>25.08</v>
      </c>
      <c r="C28" s="316">
        <v>1</v>
      </c>
      <c r="D28" s="317">
        <f>B28/C28</f>
        <v>25.08</v>
      </c>
      <c r="E28" s="351"/>
      <c r="F28" s="20" t="s">
        <v>141</v>
      </c>
    </row>
    <row r="29" spans="1:6" ht="51" customHeight="1">
      <c r="A29" s="28" t="s">
        <v>138</v>
      </c>
      <c r="B29" s="315">
        <f>58*B63</f>
        <v>60.32</v>
      </c>
      <c r="C29" s="316">
        <v>50</v>
      </c>
      <c r="D29" s="317">
        <f>B29/C29</f>
        <v>1.2064</v>
      </c>
      <c r="E29" s="351"/>
      <c r="F29" s="20" t="s">
        <v>142</v>
      </c>
    </row>
    <row r="30" spans="1:6" ht="38.25" customHeight="1">
      <c r="A30" s="28" t="s">
        <v>139</v>
      </c>
      <c r="B30" s="28" t="s">
        <v>77</v>
      </c>
      <c r="C30" s="107" t="s">
        <v>77</v>
      </c>
      <c r="D30" s="317">
        <f>SUM(D27:D29)</f>
        <v>52.9104</v>
      </c>
      <c r="E30" s="352"/>
      <c r="F30" s="20"/>
    </row>
    <row r="31" spans="1:2" ht="12.75" customHeight="1">
      <c r="A31" s="8"/>
      <c r="B31" s="8"/>
    </row>
    <row r="32" spans="1:6" ht="25.5" customHeight="1">
      <c r="A32" s="30" t="s">
        <v>78</v>
      </c>
      <c r="B32" s="31" t="s">
        <v>1</v>
      </c>
      <c r="C32" s="32" t="s">
        <v>26</v>
      </c>
      <c r="D32" s="353" t="s">
        <v>0</v>
      </c>
      <c r="E32" s="353"/>
      <c r="F32" s="34" t="s">
        <v>2</v>
      </c>
    </row>
    <row r="33" spans="1:6" ht="25.5" customHeight="1">
      <c r="A33" s="28" t="s">
        <v>43</v>
      </c>
      <c r="B33" s="27" t="s">
        <v>42</v>
      </c>
      <c r="C33" s="107">
        <f>ROUND(15*B60,2)</f>
        <v>17.1</v>
      </c>
      <c r="D33" s="347" t="s">
        <v>44</v>
      </c>
      <c r="E33" s="348"/>
      <c r="F33" s="20"/>
    </row>
    <row r="34" spans="1:6" ht="38.25" customHeight="1">
      <c r="A34" s="50" t="s">
        <v>108</v>
      </c>
      <c r="B34" s="27" t="s">
        <v>42</v>
      </c>
      <c r="C34" s="107">
        <f>ROUND(20/3*B62,2)</f>
        <v>7.13</v>
      </c>
      <c r="D34" s="345" t="s">
        <v>112</v>
      </c>
      <c r="E34" s="349"/>
      <c r="F34" s="20" t="s">
        <v>113</v>
      </c>
    </row>
    <row r="35" spans="1:6" ht="38.25" customHeight="1">
      <c r="A35" s="50" t="s">
        <v>35</v>
      </c>
      <c r="B35" s="27" t="s">
        <v>27</v>
      </c>
      <c r="C35" s="107">
        <f>ROUND(0.36*B62,2)</f>
        <v>0.39</v>
      </c>
      <c r="D35" s="345" t="s">
        <v>65</v>
      </c>
      <c r="E35" s="346"/>
      <c r="F35" s="20" t="s">
        <v>66</v>
      </c>
    </row>
    <row r="36" spans="1:6" ht="76.5" customHeight="1">
      <c r="A36" s="26" t="s">
        <v>9</v>
      </c>
      <c r="B36" s="27" t="s">
        <v>38</v>
      </c>
      <c r="C36" s="107">
        <f>ROUND(0.35*B61,2)</f>
        <v>0.39</v>
      </c>
      <c r="D36" s="331" t="s">
        <v>63</v>
      </c>
      <c r="E36" s="332"/>
      <c r="F36" s="20" t="s">
        <v>62</v>
      </c>
    </row>
    <row r="37" spans="1:6" ht="76.5" customHeight="1">
      <c r="A37" s="26" t="s">
        <v>53</v>
      </c>
      <c r="B37" s="27" t="s">
        <v>11</v>
      </c>
      <c r="C37" s="107">
        <f>ROUND(11.14*B62,2)</f>
        <v>11.92</v>
      </c>
      <c r="D37" s="331" t="s">
        <v>64</v>
      </c>
      <c r="E37" s="332"/>
      <c r="F37" s="20"/>
    </row>
    <row r="38" spans="1:3" ht="12.75" customHeight="1">
      <c r="A38" s="11"/>
      <c r="B38" s="11"/>
      <c r="C38" s="12"/>
    </row>
    <row r="39" spans="1:6" ht="38.25" customHeight="1">
      <c r="A39" s="30" t="s">
        <v>29</v>
      </c>
      <c r="B39" s="51" t="s">
        <v>30</v>
      </c>
      <c r="C39" s="51" t="s">
        <v>31</v>
      </c>
      <c r="D39" s="33" t="s">
        <v>33</v>
      </c>
      <c r="E39" s="34" t="s">
        <v>34</v>
      </c>
      <c r="F39" s="34" t="s">
        <v>2</v>
      </c>
    </row>
    <row r="40" spans="1:6" ht="25.5" customHeight="1">
      <c r="A40" s="26" t="s">
        <v>9</v>
      </c>
      <c r="B40" s="50" t="s">
        <v>45</v>
      </c>
      <c r="C40" s="50" t="s">
        <v>32</v>
      </c>
      <c r="D40" s="310">
        <f>4.5/2000</f>
        <v>0.00225</v>
      </c>
      <c r="E40" s="20" t="s">
        <v>67</v>
      </c>
      <c r="F40" s="20" t="s">
        <v>109</v>
      </c>
    </row>
    <row r="41" spans="1:6" ht="38.25" customHeight="1">
      <c r="A41" s="26" t="s">
        <v>213</v>
      </c>
      <c r="B41" s="28" t="s">
        <v>32</v>
      </c>
      <c r="C41" s="50" t="s">
        <v>41</v>
      </c>
      <c r="D41" s="311">
        <v>0.83</v>
      </c>
      <c r="E41" s="20" t="s">
        <v>214</v>
      </c>
      <c r="F41" s="20"/>
    </row>
    <row r="42" spans="1:6" ht="76.5" customHeight="1">
      <c r="A42" s="26" t="s">
        <v>186</v>
      </c>
      <c r="B42" s="50" t="s">
        <v>185</v>
      </c>
      <c r="C42" s="50" t="s">
        <v>339</v>
      </c>
      <c r="D42" s="312">
        <v>3.6667</v>
      </c>
      <c r="E42" s="20" t="s">
        <v>187</v>
      </c>
      <c r="F42" s="20"/>
    </row>
    <row r="43" spans="1:6" ht="51" customHeight="1">
      <c r="A43" s="26" t="s">
        <v>36</v>
      </c>
      <c r="B43" s="50" t="s">
        <v>207</v>
      </c>
      <c r="C43" s="50" t="s">
        <v>208</v>
      </c>
      <c r="D43" s="312">
        <v>1.624</v>
      </c>
      <c r="E43" s="20" t="s">
        <v>209</v>
      </c>
      <c r="F43" s="20"/>
    </row>
    <row r="44" spans="1:6" ht="12.75" customHeight="1">
      <c r="A44" s="26" t="s">
        <v>36</v>
      </c>
      <c r="B44" s="26" t="s">
        <v>46</v>
      </c>
      <c r="C44" s="50" t="s">
        <v>32</v>
      </c>
      <c r="D44" s="312">
        <f>3/2000</f>
        <v>0.0015</v>
      </c>
      <c r="E44" s="20" t="s">
        <v>68</v>
      </c>
      <c r="F44" s="20" t="s">
        <v>110</v>
      </c>
    </row>
    <row r="45" spans="1:6" ht="12.75" customHeight="1">
      <c r="A45" s="26" t="s">
        <v>36</v>
      </c>
      <c r="B45" s="26" t="s">
        <v>46</v>
      </c>
      <c r="C45" s="50" t="s">
        <v>216</v>
      </c>
      <c r="D45" s="312">
        <v>0.0031</v>
      </c>
      <c r="E45" s="20"/>
      <c r="F45" s="20" t="s">
        <v>117</v>
      </c>
    </row>
    <row r="46" spans="1:6" ht="12.75" customHeight="1">
      <c r="A46" s="26" t="s">
        <v>215</v>
      </c>
      <c r="B46" s="26" t="s">
        <v>233</v>
      </c>
      <c r="C46" s="50" t="s">
        <v>234</v>
      </c>
      <c r="D46" s="313">
        <v>3.6</v>
      </c>
      <c r="E46" s="20"/>
      <c r="F46" s="20"/>
    </row>
    <row r="47" spans="1:6" ht="12.75">
      <c r="A47" s="26" t="s">
        <v>215</v>
      </c>
      <c r="B47" s="26" t="s">
        <v>234</v>
      </c>
      <c r="C47" s="50" t="s">
        <v>288</v>
      </c>
      <c r="D47" s="313">
        <v>947.8</v>
      </c>
      <c r="E47" s="20"/>
      <c r="F47" s="20"/>
    </row>
    <row r="48" spans="1:6" ht="12.75">
      <c r="A48" s="26" t="s">
        <v>215</v>
      </c>
      <c r="B48" s="50" t="s">
        <v>188</v>
      </c>
      <c r="C48" s="50" t="s">
        <v>189</v>
      </c>
      <c r="D48" s="312">
        <v>2.2046</v>
      </c>
      <c r="E48" s="20"/>
      <c r="F48" s="20"/>
    </row>
    <row r="49" spans="1:6" ht="12.75">
      <c r="A49" s="26" t="s">
        <v>215</v>
      </c>
      <c r="B49" s="50" t="s">
        <v>376</v>
      </c>
      <c r="C49" s="50" t="s">
        <v>32</v>
      </c>
      <c r="D49" s="312">
        <v>1.1023</v>
      </c>
      <c r="E49" s="20"/>
      <c r="F49" s="20"/>
    </row>
    <row r="50" spans="1:6" ht="12.75">
      <c r="A50" s="26" t="s">
        <v>215</v>
      </c>
      <c r="B50" s="50" t="s">
        <v>378</v>
      </c>
      <c r="C50" s="50" t="s">
        <v>379</v>
      </c>
      <c r="D50" s="312">
        <v>28.3495</v>
      </c>
      <c r="E50" s="20"/>
      <c r="F50" s="20"/>
    </row>
    <row r="51" spans="1:6" ht="15.75">
      <c r="A51" s="26" t="s">
        <v>167</v>
      </c>
      <c r="B51" s="50" t="s">
        <v>381</v>
      </c>
      <c r="C51" s="50" t="s">
        <v>380</v>
      </c>
      <c r="D51" s="312">
        <f>12/44</f>
        <v>0.2727272727272727</v>
      </c>
      <c r="E51" s="20"/>
      <c r="F51" s="20"/>
    </row>
    <row r="52" spans="1:6" ht="12.75">
      <c r="A52" s="26" t="s">
        <v>266</v>
      </c>
      <c r="B52" s="50" t="s">
        <v>267</v>
      </c>
      <c r="C52" s="50" t="s">
        <v>188</v>
      </c>
      <c r="D52" s="311">
        <v>3.79</v>
      </c>
      <c r="E52" s="20"/>
      <c r="F52" s="20"/>
    </row>
    <row r="53" spans="1:6" ht="76.5">
      <c r="A53" s="27" t="s">
        <v>10</v>
      </c>
      <c r="B53" s="28" t="s">
        <v>41</v>
      </c>
      <c r="C53" s="28" t="s">
        <v>32</v>
      </c>
      <c r="D53" s="313">
        <v>0.2</v>
      </c>
      <c r="E53" s="20" t="s">
        <v>69</v>
      </c>
      <c r="F53" s="20" t="s">
        <v>109</v>
      </c>
    </row>
    <row r="54" spans="1:6" ht="51">
      <c r="A54" s="27" t="s">
        <v>50</v>
      </c>
      <c r="B54" s="28" t="s">
        <v>41</v>
      </c>
      <c r="C54" s="28" t="s">
        <v>41</v>
      </c>
      <c r="D54" s="314">
        <f>(0.5+0.25)/2</f>
        <v>0.375</v>
      </c>
      <c r="E54" s="29" t="s">
        <v>70</v>
      </c>
      <c r="F54" s="29" t="s">
        <v>85</v>
      </c>
    </row>
    <row r="55" spans="1:3" ht="12.75">
      <c r="A55" s="11"/>
      <c r="B55" s="11"/>
      <c r="C55" s="12"/>
    </row>
    <row r="56" spans="1:3" ht="12.75">
      <c r="A56" s="11"/>
      <c r="B56" s="11"/>
      <c r="C56" s="12"/>
    </row>
    <row r="57" spans="1:3" ht="12.75">
      <c r="A57" s="369" t="s">
        <v>4</v>
      </c>
      <c r="B57" s="370"/>
      <c r="C57" s="46"/>
    </row>
    <row r="58" spans="1:3" ht="12.75">
      <c r="A58" s="15" t="s">
        <v>5</v>
      </c>
      <c r="B58" s="371" t="s">
        <v>332</v>
      </c>
      <c r="C58" s="372"/>
    </row>
    <row r="59" spans="1:3" ht="12.75">
      <c r="A59" s="16">
        <v>2003</v>
      </c>
      <c r="B59" s="375">
        <v>1.17</v>
      </c>
      <c r="C59" s="376"/>
    </row>
    <row r="60" spans="1:3" ht="12.75">
      <c r="A60" s="16">
        <v>2004</v>
      </c>
      <c r="B60" s="373">
        <v>1.14</v>
      </c>
      <c r="C60" s="374"/>
    </row>
    <row r="61" spans="1:3" ht="12.75">
      <c r="A61" s="16">
        <v>2005</v>
      </c>
      <c r="B61" s="373">
        <v>1.1</v>
      </c>
      <c r="C61" s="374"/>
    </row>
    <row r="62" spans="1:3" ht="12.75">
      <c r="A62" s="16">
        <v>2006</v>
      </c>
      <c r="B62" s="378">
        <v>1.07</v>
      </c>
      <c r="C62" s="379"/>
    </row>
    <row r="63" spans="1:3" ht="12.75">
      <c r="A63" s="16">
        <v>2007</v>
      </c>
      <c r="B63" s="373">
        <v>1.04</v>
      </c>
      <c r="C63" s="377"/>
    </row>
    <row r="64" spans="1:3" ht="12.75">
      <c r="A64" s="368" t="s">
        <v>6</v>
      </c>
      <c r="B64" s="368"/>
      <c r="C64" s="368"/>
    </row>
  </sheetData>
  <sheetProtection sheet="1" objects="1" scenarios="1"/>
  <mergeCells count="30">
    <mergeCell ref="A1:E1"/>
    <mergeCell ref="A3:E3"/>
    <mergeCell ref="D36:E36"/>
    <mergeCell ref="D35:E35"/>
    <mergeCell ref="D33:E33"/>
    <mergeCell ref="D19:E19"/>
    <mergeCell ref="D20:E20"/>
    <mergeCell ref="D14:E14"/>
    <mergeCell ref="D15:E15"/>
    <mergeCell ref="D16:E16"/>
    <mergeCell ref="D37:E37"/>
    <mergeCell ref="D34:E34"/>
    <mergeCell ref="D23:E23"/>
    <mergeCell ref="E27:E30"/>
    <mergeCell ref="D32:E32"/>
    <mergeCell ref="D24:E24"/>
    <mergeCell ref="D17:E17"/>
    <mergeCell ref="B6:B12"/>
    <mergeCell ref="D5:E5"/>
    <mergeCell ref="D6:E12"/>
    <mergeCell ref="D21:E21"/>
    <mergeCell ref="A64:C64"/>
    <mergeCell ref="A57:B57"/>
    <mergeCell ref="B58:C58"/>
    <mergeCell ref="B61:C61"/>
    <mergeCell ref="B60:C60"/>
    <mergeCell ref="B59:C59"/>
    <mergeCell ref="B63:C63"/>
    <mergeCell ref="B62:C62"/>
    <mergeCell ref="D22:E22"/>
  </mergeCells>
  <printOptions horizontalCentered="1"/>
  <pageMargins left="0.75" right="0.75" top="1" bottom="1" header="0.5" footer="0.5"/>
  <pageSetup fitToHeight="2" fitToWidth="1" horizontalDpi="600" verticalDpi="600" orientation="landscape" scale="56" r:id="rId3"/>
  <drawing r:id="rId1"/>
  <picture r:id="rId2"/>
</worksheet>
</file>

<file path=xl/worksheets/sheet12.xml><?xml version="1.0" encoding="utf-8"?>
<worksheet xmlns="http://schemas.openxmlformats.org/spreadsheetml/2006/main" xmlns:r="http://schemas.openxmlformats.org/officeDocument/2006/relationships">
  <sheetPr codeName="Sheet7"/>
  <dimension ref="A1:I9"/>
  <sheetViews>
    <sheetView workbookViewId="0" topLeftCell="A1">
      <selection activeCell="L49" sqref="L49"/>
    </sheetView>
  </sheetViews>
  <sheetFormatPr defaultColWidth="9.140625" defaultRowHeight="12.75"/>
  <cols>
    <col min="5" max="5" width="11.00390625" style="0" customWidth="1"/>
    <col min="8" max="8" width="13.7109375" style="0" customWidth="1"/>
    <col min="9" max="9" width="12.28125" style="0" customWidth="1"/>
  </cols>
  <sheetData>
    <row r="1" spans="1:9" ht="12.75">
      <c r="A1" s="65" t="s">
        <v>7</v>
      </c>
      <c r="B1" s="65" t="s">
        <v>8</v>
      </c>
      <c r="C1" s="65" t="s">
        <v>9</v>
      </c>
      <c r="D1" s="65" t="s">
        <v>28</v>
      </c>
      <c r="E1" s="65" t="s">
        <v>10</v>
      </c>
      <c r="F1" s="73" t="s">
        <v>60</v>
      </c>
      <c r="G1" s="90" t="s">
        <v>79</v>
      </c>
      <c r="H1" s="102" t="s">
        <v>126</v>
      </c>
      <c r="I1" s="102" t="s">
        <v>342</v>
      </c>
    </row>
    <row r="2" spans="1:9" ht="12.75">
      <c r="A2" s="66" t="s">
        <v>40</v>
      </c>
      <c r="B2" s="66" t="s">
        <v>40</v>
      </c>
      <c r="C2" s="66" t="s">
        <v>40</v>
      </c>
      <c r="D2" s="66" t="s">
        <v>40</v>
      </c>
      <c r="E2" s="66" t="s">
        <v>40</v>
      </c>
      <c r="F2" s="72" t="s">
        <v>40</v>
      </c>
      <c r="G2" s="72" t="s">
        <v>40</v>
      </c>
      <c r="H2" s="72" t="s">
        <v>40</v>
      </c>
      <c r="I2" s="72" t="s">
        <v>343</v>
      </c>
    </row>
    <row r="3" spans="1:9" ht="12.75">
      <c r="A3" s="67" t="s">
        <v>52</v>
      </c>
      <c r="B3" s="67" t="s">
        <v>52</v>
      </c>
      <c r="C3" s="67" t="s">
        <v>52</v>
      </c>
      <c r="D3" s="67" t="s">
        <v>52</v>
      </c>
      <c r="E3" s="67" t="s">
        <v>52</v>
      </c>
      <c r="F3" s="72" t="s">
        <v>52</v>
      </c>
      <c r="G3" s="72" t="s">
        <v>52</v>
      </c>
      <c r="H3" s="72" t="s">
        <v>52</v>
      </c>
      <c r="I3" s="72" t="s">
        <v>344</v>
      </c>
    </row>
    <row r="4" spans="1:9" ht="12.75">
      <c r="A4" s="68" t="s">
        <v>40</v>
      </c>
      <c r="B4" s="68" t="s">
        <v>40</v>
      </c>
      <c r="C4" s="68" t="s">
        <v>40</v>
      </c>
      <c r="D4" s="68" t="s">
        <v>40</v>
      </c>
      <c r="E4" s="68" t="s">
        <v>40</v>
      </c>
      <c r="F4" s="68" t="s">
        <v>52</v>
      </c>
      <c r="G4" s="68" t="s">
        <v>40</v>
      </c>
      <c r="H4" s="68" t="s">
        <v>40</v>
      </c>
      <c r="I4" s="72" t="s">
        <v>345</v>
      </c>
    </row>
    <row r="5" ht="12.75">
      <c r="I5" s="72" t="s">
        <v>346</v>
      </c>
    </row>
    <row r="6" ht="12.75">
      <c r="I6" s="72" t="s">
        <v>347</v>
      </c>
    </row>
    <row r="7" ht="12.75">
      <c r="I7" s="72" t="s">
        <v>348</v>
      </c>
    </row>
    <row r="8" ht="12.75">
      <c r="I8" s="289" t="s">
        <v>349</v>
      </c>
    </row>
    <row r="9" ht="12.75">
      <c r="I9" s="68" t="s">
        <v>349</v>
      </c>
    </row>
  </sheetData>
  <printOptions headings="1"/>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E99"/>
  <sheetViews>
    <sheetView showGridLines="0" workbookViewId="0" topLeftCell="A1">
      <selection activeCell="B13" sqref="B13"/>
    </sheetView>
  </sheetViews>
  <sheetFormatPr defaultColWidth="9.140625" defaultRowHeight="12.75"/>
  <cols>
    <col min="1" max="1" width="77.140625" style="7" customWidth="1"/>
    <col min="2" max="2" width="10.140625" style="7" customWidth="1"/>
    <col min="3" max="3" width="13.421875" style="7" customWidth="1"/>
    <col min="4" max="4" width="22.57421875" style="7" customWidth="1"/>
    <col min="5" max="16384" width="9.140625" style="7" customWidth="1"/>
  </cols>
  <sheetData>
    <row r="1" spans="1:5" ht="12.75" customHeight="1">
      <c r="A1" s="263" t="s">
        <v>91</v>
      </c>
      <c r="B1" s="82"/>
      <c r="C1" s="6"/>
      <c r="D1" s="6"/>
      <c r="E1" s="6"/>
    </row>
    <row r="2" ht="12.75"/>
    <row r="3" ht="12.75"/>
    <row r="4" ht="19.5" customHeight="1">
      <c r="A4" s="290" t="s">
        <v>341</v>
      </c>
    </row>
    <row r="5" ht="19.5" customHeight="1">
      <c r="A5" s="57"/>
    </row>
    <row r="6" spans="1:3" ht="12.75">
      <c r="A6" s="30" t="s">
        <v>102</v>
      </c>
      <c r="B6" s="231"/>
      <c r="C6" s="106"/>
    </row>
    <row r="7" spans="1:3" ht="12.75">
      <c r="A7" s="36" t="s">
        <v>103</v>
      </c>
      <c r="B7" s="47">
        <v>60</v>
      </c>
      <c r="C7" s="106"/>
    </row>
    <row r="8" spans="1:3" ht="12.75">
      <c r="A8" s="36" t="s">
        <v>119</v>
      </c>
      <c r="B8" s="100">
        <v>0.25</v>
      </c>
      <c r="C8" s="106"/>
    </row>
    <row r="9" spans="1:3" ht="12.75">
      <c r="A9" s="36" t="s">
        <v>83</v>
      </c>
      <c r="B9" s="63">
        <v>10</v>
      </c>
      <c r="C9" s="106"/>
    </row>
    <row r="10" spans="1:3" ht="12.75">
      <c r="A10" s="36" t="s">
        <v>106</v>
      </c>
      <c r="B10" s="63">
        <v>10</v>
      </c>
      <c r="C10" s="106"/>
    </row>
    <row r="11" spans="1:3" ht="19.5" customHeight="1">
      <c r="A11" s="36" t="s">
        <v>120</v>
      </c>
      <c r="B11" s="63"/>
      <c r="C11" s="106"/>
    </row>
    <row r="12" spans="1:3" ht="19.5" customHeight="1">
      <c r="A12" s="36" t="s">
        <v>275</v>
      </c>
      <c r="B12" s="47"/>
      <c r="C12" s="106"/>
    </row>
    <row r="13" spans="1:3" ht="12.75">
      <c r="A13" s="83" t="str">
        <f>IF(Lookup!E4="No","-","How much does green waste recycling cost per ton (including transportation)?")</f>
        <v>How much does green waste recycling cost per ton (including transportation)?</v>
      </c>
      <c r="B13" s="61">
        <v>15</v>
      </c>
      <c r="C13" s="106">
        <f>IF(A13="-","",IF(B13="","&lt;---- Fill in this cell",""))</f>
      </c>
    </row>
    <row r="14" spans="1:3" ht="12.75">
      <c r="A14" s="137" t="str">
        <f>IF(Lookup!E4="No","-","How many miles is it to the nearest recycling facility for green waste?")</f>
        <v>How many miles is it to the nearest recycling facility for green waste?</v>
      </c>
      <c r="B14" s="232">
        <v>25</v>
      </c>
      <c r="C14" s="106">
        <f>IF(A14="-","",IF(B14="","&lt;---- Fill in this cell",""))</f>
      </c>
    </row>
    <row r="15" spans="1:3" ht="12.75">
      <c r="A15" s="137" t="s">
        <v>281</v>
      </c>
      <c r="B15" s="232">
        <v>25</v>
      </c>
      <c r="C15" s="106"/>
    </row>
    <row r="16" spans="1:3" ht="12.75">
      <c r="A16" s="137" t="s">
        <v>184</v>
      </c>
      <c r="B16" s="232">
        <v>50</v>
      </c>
      <c r="C16" s="106"/>
    </row>
    <row r="17" spans="1:4" ht="12.75">
      <c r="A17" s="30" t="s">
        <v>28</v>
      </c>
      <c r="B17" s="255"/>
      <c r="C17" s="159" t="s">
        <v>372</v>
      </c>
      <c r="D17" s="159" t="s">
        <v>373</v>
      </c>
    </row>
    <row r="18" spans="1:4" ht="12.75">
      <c r="A18" s="36" t="s">
        <v>362</v>
      </c>
      <c r="B18" s="47">
        <v>1000</v>
      </c>
      <c r="C18" s="326">
        <v>0.2</v>
      </c>
      <c r="D18" s="295">
        <f>B18*(1-$C$18)</f>
        <v>800</v>
      </c>
    </row>
    <row r="19" spans="1:4" ht="12.75">
      <c r="A19" s="36" t="s">
        <v>363</v>
      </c>
      <c r="B19" s="47">
        <v>3000</v>
      </c>
      <c r="C19" s="327"/>
      <c r="D19" s="295">
        <f>B19*(1-$C$18)</f>
        <v>2400</v>
      </c>
    </row>
    <row r="20" spans="1:4" ht="12.75">
      <c r="A20" s="36" t="s">
        <v>364</v>
      </c>
      <c r="B20" s="47">
        <v>6000</v>
      </c>
      <c r="C20" s="327"/>
      <c r="D20" s="295">
        <f>B20*(1-$C$18)</f>
        <v>4800</v>
      </c>
    </row>
    <row r="21" spans="1:4" ht="12.75">
      <c r="A21" s="36" t="s">
        <v>365</v>
      </c>
      <c r="B21" s="47">
        <v>10000</v>
      </c>
      <c r="C21" s="328"/>
      <c r="D21" s="295">
        <f>B21*(1-$C$18)</f>
        <v>8000</v>
      </c>
    </row>
    <row r="22" spans="1:3" ht="12.75">
      <c r="A22" s="36" t="s">
        <v>115</v>
      </c>
      <c r="B22" s="100">
        <v>0</v>
      </c>
      <c r="C22" s="106"/>
    </row>
    <row r="23" spans="1:3" ht="12.75">
      <c r="A23" s="36" t="s">
        <v>366</v>
      </c>
      <c r="B23" s="86">
        <v>500</v>
      </c>
      <c r="C23" s="106"/>
    </row>
    <row r="24" spans="1:3" ht="12.75">
      <c r="A24" s="36" t="s">
        <v>363</v>
      </c>
      <c r="B24" s="86">
        <v>1500</v>
      </c>
      <c r="C24" s="106"/>
    </row>
    <row r="25" spans="1:3" ht="12.75">
      <c r="A25" s="36" t="s">
        <v>364</v>
      </c>
      <c r="B25" s="86">
        <v>3000</v>
      </c>
      <c r="C25" s="106"/>
    </row>
    <row r="26" spans="1:3" ht="12.75">
      <c r="A26" s="36" t="s">
        <v>365</v>
      </c>
      <c r="B26" s="86">
        <v>5000</v>
      </c>
      <c r="C26" s="106"/>
    </row>
    <row r="27" spans="1:3" ht="19.5" customHeight="1">
      <c r="A27" s="36" t="s">
        <v>276</v>
      </c>
      <c r="B27" s="48"/>
      <c r="C27" s="106"/>
    </row>
    <row r="28" spans="1:3" ht="12.75">
      <c r="A28" s="83" t="str">
        <f>IF(Lookup!D4="No","-","How much does lumber recycling cost per ton (including transportation)?")</f>
        <v>How much does lumber recycling cost per ton (including transportation)?</v>
      </c>
      <c r="B28" s="52">
        <v>15</v>
      </c>
      <c r="C28" s="106">
        <f>IF(A28="-","",IF(B28="","&lt;---- Fill in this cell",""))</f>
      </c>
    </row>
    <row r="29" spans="1:3" ht="12.75">
      <c r="A29" s="137" t="str">
        <f>IF(Lookup!D4="No","-","How many miles is it to the nearest lumber recycling facility?")</f>
        <v>How many miles is it to the nearest lumber recycling facility?</v>
      </c>
      <c r="B29" s="232">
        <v>25</v>
      </c>
      <c r="C29" s="106">
        <f>IF(A29="-","",IF(B29="","&lt;---- Fill in this cell",""))</f>
      </c>
    </row>
    <row r="30" spans="1:3" ht="12.75">
      <c r="A30" s="137" t="s">
        <v>226</v>
      </c>
      <c r="B30" s="232">
        <v>1</v>
      </c>
      <c r="C30" s="106"/>
    </row>
    <row r="31" spans="1:3" ht="12.75">
      <c r="A31" s="36" t="s">
        <v>218</v>
      </c>
      <c r="B31" s="232">
        <v>3</v>
      </c>
      <c r="C31" s="106"/>
    </row>
    <row r="32" spans="1:3" ht="12.75">
      <c r="A32" s="36" t="s">
        <v>219</v>
      </c>
      <c r="B32" s="232">
        <v>6</v>
      </c>
      <c r="C32" s="106"/>
    </row>
    <row r="33" spans="1:3" ht="12.75">
      <c r="A33" s="36" t="s">
        <v>220</v>
      </c>
      <c r="B33" s="232">
        <v>10</v>
      </c>
      <c r="C33" s="106"/>
    </row>
    <row r="34" spans="1:3" ht="12.75">
      <c r="A34" s="137" t="s">
        <v>183</v>
      </c>
      <c r="B34" s="232">
        <v>50</v>
      </c>
      <c r="C34" s="106"/>
    </row>
    <row r="35" spans="1:3" ht="12.75">
      <c r="A35" s="137" t="s">
        <v>217</v>
      </c>
      <c r="B35" s="232">
        <v>1</v>
      </c>
      <c r="C35" s="106"/>
    </row>
    <row r="36" spans="1:3" ht="12.75">
      <c r="A36" s="36" t="s">
        <v>218</v>
      </c>
      <c r="B36" s="232">
        <v>3</v>
      </c>
      <c r="C36" s="106"/>
    </row>
    <row r="37" spans="1:3" ht="12.75">
      <c r="A37" s="36" t="s">
        <v>219</v>
      </c>
      <c r="B37" s="232">
        <v>6</v>
      </c>
      <c r="C37" s="106"/>
    </row>
    <row r="38" spans="1:3" ht="12.75">
      <c r="A38" s="36" t="s">
        <v>220</v>
      </c>
      <c r="B38" s="232">
        <v>10</v>
      </c>
      <c r="C38" s="106"/>
    </row>
    <row r="39" spans="1:4" ht="12.75">
      <c r="A39" s="30" t="s">
        <v>9</v>
      </c>
      <c r="B39" s="255"/>
      <c r="C39" s="159" t="s">
        <v>372</v>
      </c>
      <c r="D39" s="159" t="s">
        <v>390</v>
      </c>
    </row>
    <row r="40" spans="1:4" ht="12.75">
      <c r="A40" s="36" t="s">
        <v>368</v>
      </c>
      <c r="B40" s="47">
        <v>1000</v>
      </c>
      <c r="C40" s="326">
        <v>0.1</v>
      </c>
      <c r="D40" s="295">
        <f>B40*(1-$C$40)</f>
        <v>900</v>
      </c>
    </row>
    <row r="41" spans="1:4" ht="12.75">
      <c r="A41" s="36" t="s">
        <v>363</v>
      </c>
      <c r="B41" s="47">
        <v>3000</v>
      </c>
      <c r="C41" s="327"/>
      <c r="D41" s="295">
        <f>B41*(1-$C$40)</f>
        <v>2700</v>
      </c>
    </row>
    <row r="42" spans="1:4" ht="12.75">
      <c r="A42" s="36" t="s">
        <v>364</v>
      </c>
      <c r="B42" s="47">
        <v>6000</v>
      </c>
      <c r="C42" s="327"/>
      <c r="D42" s="295">
        <f>B42*(1-$C$40)</f>
        <v>5400</v>
      </c>
    </row>
    <row r="43" spans="1:4" ht="12.75">
      <c r="A43" s="36" t="s">
        <v>365</v>
      </c>
      <c r="B43" s="47">
        <v>10000</v>
      </c>
      <c r="C43" s="328"/>
      <c r="D43" s="295">
        <f>B43*(1-$C$40)</f>
        <v>9000</v>
      </c>
    </row>
    <row r="44" spans="1:3" ht="12.75">
      <c r="A44" s="36" t="s">
        <v>367</v>
      </c>
      <c r="B44" s="86">
        <v>500</v>
      </c>
      <c r="C44" s="106"/>
    </row>
    <row r="45" spans="1:3" ht="12.75">
      <c r="A45" s="36" t="s">
        <v>363</v>
      </c>
      <c r="B45" s="86">
        <v>1500</v>
      </c>
      <c r="C45" s="106"/>
    </row>
    <row r="46" spans="1:3" ht="12.75">
      <c r="A46" s="36" t="s">
        <v>364</v>
      </c>
      <c r="B46" s="86">
        <v>3000</v>
      </c>
      <c r="C46" s="106"/>
    </row>
    <row r="47" spans="1:3" ht="12.75">
      <c r="A47" s="36" t="s">
        <v>365</v>
      </c>
      <c r="B47" s="86">
        <v>5000</v>
      </c>
      <c r="C47" s="106"/>
    </row>
    <row r="48" spans="1:3" ht="19.5" customHeight="1">
      <c r="A48" s="36" t="s">
        <v>277</v>
      </c>
      <c r="B48" s="48"/>
      <c r="C48" s="106"/>
    </row>
    <row r="49" spans="1:3" ht="12.75">
      <c r="A49" s="137" t="str">
        <f>IF(Lookup!C4="No","-","How much does brick recycling cost per ton (including transportation)?")</f>
        <v>How much does brick recycling cost per ton (including transportation)?</v>
      </c>
      <c r="B49" s="52">
        <v>15</v>
      </c>
      <c r="C49" s="106">
        <f>IF(A49="-","",IF(B49="","&lt;---- Fill in this cell",""))</f>
      </c>
    </row>
    <row r="50" spans="1:3" ht="12.75">
      <c r="A50" s="137" t="str">
        <f>IF(Lookup!C4="No","-","How many miles is it to the nearest brick recycling facility?")</f>
        <v>How many miles is it to the nearest brick recycling facility?</v>
      </c>
      <c r="B50" s="232">
        <v>25</v>
      </c>
      <c r="C50" s="106">
        <f>IF(A50="-","",IF(B50="","&lt;---- Fill in this cell",""))</f>
      </c>
    </row>
    <row r="51" spans="1:3" ht="19.5" customHeight="1">
      <c r="A51" s="36" t="s">
        <v>82</v>
      </c>
      <c r="B51" s="52"/>
      <c r="C51" s="106"/>
    </row>
    <row r="52" spans="1:3" ht="12.75">
      <c r="A52" s="36" t="str">
        <f>IF(Lookup!G4="No","-","How much do recycled bricks cost (per used brick)?")</f>
        <v>How much do recycled bricks cost (per used brick)?</v>
      </c>
      <c r="B52" s="87">
        <v>0.2</v>
      </c>
      <c r="C52" s="106">
        <f>IF(A52="-","",IF(B52="","&lt;---- Fill in this cell",""))</f>
      </c>
    </row>
    <row r="53" spans="1:3" ht="12.75">
      <c r="A53" s="137" t="s">
        <v>225</v>
      </c>
      <c r="B53" s="232">
        <v>1</v>
      </c>
      <c r="C53" s="106"/>
    </row>
    <row r="54" spans="1:3" ht="12.75">
      <c r="A54" s="36" t="s">
        <v>218</v>
      </c>
      <c r="B54" s="232">
        <v>3</v>
      </c>
      <c r="C54" s="106"/>
    </row>
    <row r="55" spans="1:3" ht="12.75">
      <c r="A55" s="36" t="s">
        <v>219</v>
      </c>
      <c r="B55" s="232">
        <v>6</v>
      </c>
      <c r="C55" s="106"/>
    </row>
    <row r="56" spans="1:3" ht="12.75">
      <c r="A56" s="36" t="s">
        <v>220</v>
      </c>
      <c r="B56" s="232">
        <v>10</v>
      </c>
      <c r="C56" s="106"/>
    </row>
    <row r="57" spans="1:3" ht="12.75">
      <c r="A57" s="137" t="s">
        <v>182</v>
      </c>
      <c r="B57" s="232">
        <v>50</v>
      </c>
      <c r="C57" s="106"/>
    </row>
    <row r="58" spans="1:3" ht="12.75">
      <c r="A58" s="137" t="s">
        <v>274</v>
      </c>
      <c r="B58" s="232">
        <v>1</v>
      </c>
      <c r="C58" s="106"/>
    </row>
    <row r="59" spans="1:3" ht="12.75">
      <c r="A59" s="36" t="s">
        <v>218</v>
      </c>
      <c r="B59" s="232">
        <v>3</v>
      </c>
      <c r="C59" s="106"/>
    </row>
    <row r="60" spans="1:3" ht="12.75">
      <c r="A60" s="36" t="s">
        <v>219</v>
      </c>
      <c r="B60" s="232">
        <v>6</v>
      </c>
      <c r="C60" s="106"/>
    </row>
    <row r="61" spans="1:3" ht="12.75">
      <c r="A61" s="36" t="s">
        <v>220</v>
      </c>
      <c r="B61" s="232">
        <v>10</v>
      </c>
      <c r="C61" s="106"/>
    </row>
    <row r="62" spans="1:5" ht="12.75">
      <c r="A62" s="30" t="s">
        <v>81</v>
      </c>
      <c r="B62" s="256"/>
      <c r="C62" s="106"/>
      <c r="D62" s="9"/>
      <c r="E62" s="9"/>
    </row>
    <row r="63" spans="1:3" ht="12.75">
      <c r="A63" s="36" t="s">
        <v>369</v>
      </c>
      <c r="B63" s="47">
        <v>1</v>
      </c>
      <c r="C63" s="106"/>
    </row>
    <row r="64" spans="1:3" ht="12.75">
      <c r="A64" s="36" t="s">
        <v>363</v>
      </c>
      <c r="B64" s="47">
        <v>3</v>
      </c>
      <c r="C64" s="106"/>
    </row>
    <row r="65" spans="1:3" ht="12.75">
      <c r="A65" s="36" t="s">
        <v>364</v>
      </c>
      <c r="B65" s="47">
        <v>6</v>
      </c>
      <c r="C65" s="106"/>
    </row>
    <row r="66" spans="1:3" ht="12.75">
      <c r="A66" s="36" t="s">
        <v>365</v>
      </c>
      <c r="B66" s="47">
        <v>10</v>
      </c>
      <c r="C66" s="106"/>
    </row>
    <row r="67" spans="1:3" ht="19.5" customHeight="1">
      <c r="A67" s="36" t="s">
        <v>59</v>
      </c>
      <c r="B67" s="47"/>
      <c r="C67" s="106"/>
    </row>
    <row r="68" spans="1:3" ht="12.75">
      <c r="A68" s="36" t="s">
        <v>371</v>
      </c>
      <c r="B68" s="47">
        <v>1</v>
      </c>
      <c r="C68" s="106"/>
    </row>
    <row r="69" spans="1:3" ht="12.75">
      <c r="A69" s="36" t="s">
        <v>363</v>
      </c>
      <c r="B69" s="47">
        <v>3</v>
      </c>
      <c r="C69" s="106"/>
    </row>
    <row r="70" spans="1:3" ht="12.75">
      <c r="A70" s="36" t="s">
        <v>364</v>
      </c>
      <c r="B70" s="47">
        <v>6</v>
      </c>
      <c r="C70" s="106"/>
    </row>
    <row r="71" spans="1:3" ht="12.75">
      <c r="A71" s="36" t="s">
        <v>365</v>
      </c>
      <c r="B71" s="47">
        <v>10</v>
      </c>
      <c r="C71" s="106"/>
    </row>
    <row r="72" spans="1:3" ht="12.75" customHeight="1">
      <c r="A72" s="36" t="s">
        <v>370</v>
      </c>
      <c r="B72" s="47">
        <v>2</v>
      </c>
      <c r="C72" s="106"/>
    </row>
    <row r="73" spans="1:3" ht="12.75" customHeight="1">
      <c r="A73" s="36" t="s">
        <v>363</v>
      </c>
      <c r="B73" s="47">
        <v>6</v>
      </c>
      <c r="C73" s="106"/>
    </row>
    <row r="74" spans="1:3" ht="12.75" customHeight="1">
      <c r="A74" s="36" t="s">
        <v>364</v>
      </c>
      <c r="B74" s="47">
        <v>12</v>
      </c>
      <c r="C74" s="106"/>
    </row>
    <row r="75" spans="1:3" ht="12.75" customHeight="1">
      <c r="A75" s="36" t="s">
        <v>365</v>
      </c>
      <c r="B75" s="47">
        <v>20</v>
      </c>
      <c r="C75" s="106"/>
    </row>
    <row r="76" spans="1:3" ht="19.5" customHeight="1">
      <c r="A76" s="36" t="s">
        <v>278</v>
      </c>
      <c r="B76" s="48"/>
      <c r="C76" s="106"/>
    </row>
    <row r="77" spans="1:3" ht="12.75">
      <c r="A77" s="83" t="str">
        <f>IF(Lookup!A4="No","-","How much does recycling concrete cost per ton (including transportation)?")</f>
        <v>How much does recycling concrete cost per ton (including transportation)?</v>
      </c>
      <c r="B77" s="52">
        <v>15</v>
      </c>
      <c r="C77" s="106">
        <f>IF(A77="-","",IF(B77="","&lt;---- Fill in this cell",""))</f>
      </c>
    </row>
    <row r="78" spans="1:3" ht="12.75">
      <c r="A78" s="137" t="str">
        <f>IF(Lookup!A4="No","-","How many miles is it to the nearest concrete recycling facility?")</f>
        <v>How many miles is it to the nearest concrete recycling facility?</v>
      </c>
      <c r="B78" s="232">
        <v>25</v>
      </c>
      <c r="C78" s="106">
        <f>IF(A78="-","",IF(B78="","&lt;---- Fill in this cell",""))</f>
      </c>
    </row>
    <row r="79" spans="1:3" ht="12.75">
      <c r="A79" s="137" t="s">
        <v>223</v>
      </c>
      <c r="B79" s="232">
        <v>1</v>
      </c>
      <c r="C79" s="106"/>
    </row>
    <row r="80" spans="1:3" ht="12.75">
      <c r="A80" s="36" t="s">
        <v>218</v>
      </c>
      <c r="B80" s="232">
        <v>3</v>
      </c>
      <c r="C80" s="106"/>
    </row>
    <row r="81" spans="1:3" ht="12.75">
      <c r="A81" s="36" t="s">
        <v>219</v>
      </c>
      <c r="B81" s="232">
        <v>6</v>
      </c>
      <c r="C81" s="106"/>
    </row>
    <row r="82" spans="1:3" ht="12.75">
      <c r="A82" s="36" t="s">
        <v>220</v>
      </c>
      <c r="B82" s="232">
        <v>10</v>
      </c>
      <c r="C82" s="106"/>
    </row>
    <row r="83" spans="1:3" ht="12.75">
      <c r="A83" s="137" t="s">
        <v>181</v>
      </c>
      <c r="B83" s="232">
        <v>50</v>
      </c>
      <c r="C83" s="106"/>
    </row>
    <row r="84" spans="1:3" ht="12.75">
      <c r="A84" s="137" t="s">
        <v>221</v>
      </c>
      <c r="B84" s="232">
        <v>1</v>
      </c>
      <c r="C84" s="106"/>
    </row>
    <row r="85" spans="1:3" ht="12.75">
      <c r="A85" s="36" t="s">
        <v>218</v>
      </c>
      <c r="B85" s="232">
        <v>3</v>
      </c>
      <c r="C85" s="106"/>
    </row>
    <row r="86" spans="1:3" ht="12.75">
      <c r="A86" s="36" t="s">
        <v>219</v>
      </c>
      <c r="B86" s="232">
        <v>6</v>
      </c>
      <c r="C86" s="106"/>
    </row>
    <row r="87" spans="1:3" ht="12.75">
      <c r="A87" s="36" t="s">
        <v>220</v>
      </c>
      <c r="B87" s="232">
        <v>10</v>
      </c>
      <c r="C87" s="106"/>
    </row>
    <row r="88" spans="1:3" ht="19.5" customHeight="1">
      <c r="A88" s="36" t="s">
        <v>279</v>
      </c>
      <c r="B88" s="48"/>
      <c r="C88" s="106"/>
    </row>
    <row r="89" spans="1:3" ht="12.75">
      <c r="A89" s="83" t="str">
        <f>IF(Lookup!B4="No","-","How much does recycling asphalt cost per ton (including transportation)?")</f>
        <v>How much does recycling asphalt cost per ton (including transportation)?</v>
      </c>
      <c r="B89" s="52">
        <v>15</v>
      </c>
      <c r="C89" s="106">
        <f>IF(A89="-","",IF(B89="","&lt;---- Fill in this cell",""))</f>
      </c>
    </row>
    <row r="90" spans="1:3" ht="12.75">
      <c r="A90" s="137" t="str">
        <f>IF(Lookup!B4="No","-","How many miles is it to the nearest asphalt recycling facility?")</f>
        <v>How many miles is it to the nearest asphalt recycling facility?</v>
      </c>
      <c r="B90" s="232">
        <v>25</v>
      </c>
      <c r="C90" s="106">
        <f>IF(A90="-","",IF(B90="","&lt;---- Fill in this cell",""))</f>
      </c>
    </row>
    <row r="91" spans="1:3" ht="12.75">
      <c r="A91" s="137" t="s">
        <v>224</v>
      </c>
      <c r="B91" s="232">
        <v>1</v>
      </c>
      <c r="C91" s="106"/>
    </row>
    <row r="92" spans="1:3" ht="12.75">
      <c r="A92" s="36" t="s">
        <v>218</v>
      </c>
      <c r="B92" s="232">
        <v>3</v>
      </c>
      <c r="C92" s="106"/>
    </row>
    <row r="93" spans="1:3" ht="12.75">
      <c r="A93" s="36" t="s">
        <v>219</v>
      </c>
      <c r="B93" s="232">
        <v>6</v>
      </c>
      <c r="C93" s="106"/>
    </row>
    <row r="94" spans="1:3" ht="12.75">
      <c r="A94" s="36" t="s">
        <v>220</v>
      </c>
      <c r="B94" s="232">
        <v>10</v>
      </c>
      <c r="C94" s="106"/>
    </row>
    <row r="95" spans="1:3" ht="12.75">
      <c r="A95" s="137" t="s">
        <v>180</v>
      </c>
      <c r="B95" s="232">
        <v>50</v>
      </c>
      <c r="C95" s="106"/>
    </row>
    <row r="96" spans="1:3" ht="12.75">
      <c r="A96" s="137" t="s">
        <v>222</v>
      </c>
      <c r="B96" s="232">
        <v>1</v>
      </c>
      <c r="C96" s="106"/>
    </row>
    <row r="97" spans="1:3" ht="12.75">
      <c r="A97" s="36" t="s">
        <v>218</v>
      </c>
      <c r="B97" s="232">
        <v>3</v>
      </c>
      <c r="C97" s="106"/>
    </row>
    <row r="98" spans="1:3" ht="12.75">
      <c r="A98" s="36" t="s">
        <v>219</v>
      </c>
      <c r="B98" s="232">
        <v>6</v>
      </c>
      <c r="C98" s="106"/>
    </row>
    <row r="99" spans="1:3" ht="12.75">
      <c r="A99" s="36" t="s">
        <v>220</v>
      </c>
      <c r="B99" s="232">
        <v>10</v>
      </c>
      <c r="C99" s="106"/>
    </row>
  </sheetData>
  <sheetProtection sheet="1" objects="1" scenarios="1"/>
  <mergeCells count="2">
    <mergeCell ref="C18:C21"/>
    <mergeCell ref="C40:C43"/>
  </mergeCells>
  <dataValidations count="6">
    <dataValidation type="decimal" allowBlank="1" showInputMessage="1" showErrorMessage="1" sqref="B88">
      <formula1>0</formula1>
      <formula2>100000000000</formula2>
    </dataValidation>
    <dataValidation type="decimal" allowBlank="1" showInputMessage="1" showErrorMessage="1" errorTitle="Error" error="Please enter a number greater or equal to zero." sqref="B22:B23 B7:B10 B13:B16 B83:B84 B28:B30 B34:B35 B49:B50 B44 B57:B58 B63 B72 B40 B52:B53 B68 B77:B79 B89:B91 B95:B96">
      <formula1>0</formula1>
      <formula2>100000000000</formula2>
    </dataValidation>
    <dataValidation type="decimal" operator="greaterThanOrEqual" allowBlank="1" showInputMessage="1" showErrorMessage="1" errorTitle="Error" error="Please enter a number greater or equal to value in the previous row." sqref="B36:B38 B42:B43 B45:B47 B54:B56 B59:B61 B64:B66 B69:B71 B73:B75 B80:B82 B85:B87 B92:B94 B31:B33 B97:B99 B19:B21 B24:B26">
      <formula1>B35</formula1>
    </dataValidation>
    <dataValidation type="decimal" operator="greaterThanOrEqual" allowBlank="1" showInputMessage="1" showErrorMessage="1" errorTitle="Error" error="Please enter a number greater or equal to zero." sqref="B18">
      <formula1>0</formula1>
    </dataValidation>
    <dataValidation type="decimal" operator="greaterThanOrEqual" allowBlank="1" showInputMessage="1" showErrorMessage="1" errorTitle="Error" error="Please enter a number greater or equal to value in the previous row." sqref="B41">
      <formula1>B40</formula1>
    </dataValidation>
    <dataValidation type="decimal" allowBlank="1" showErrorMessage="1" promptTitle="Error" prompt="Please enter a value between 0 and 100%" sqref="C18:C21 C40:C43">
      <formula1>0</formula1>
      <formula2>1</formula2>
    </dataValidation>
  </dataValidations>
  <printOptions horizontalCentered="1"/>
  <pageMargins left="0.75" right="0.75" top="1" bottom="1" header="0.5" footer="0.5"/>
  <pageSetup fitToHeight="2" fitToWidth="1" horizontalDpi="600" verticalDpi="600" orientation="portrait" r:id="rId5"/>
  <drawing r:id="rId3"/>
  <legacyDrawing r:id="rId2"/>
  <picture r:id="rId4"/>
</worksheet>
</file>

<file path=xl/worksheets/sheet3.xml><?xml version="1.0" encoding="utf-8"?>
<worksheet xmlns="http://schemas.openxmlformats.org/spreadsheetml/2006/main" xmlns:r="http://schemas.openxmlformats.org/officeDocument/2006/relationships">
  <sheetPr codeName="Sheet3">
    <pageSetUpPr fitToPage="1"/>
  </sheetPr>
  <dimension ref="A1:I84"/>
  <sheetViews>
    <sheetView showGridLines="0" workbookViewId="0" topLeftCell="A1">
      <selection activeCell="A1" sqref="A1:B2"/>
    </sheetView>
  </sheetViews>
  <sheetFormatPr defaultColWidth="9.140625" defaultRowHeight="12.75"/>
  <cols>
    <col min="1" max="1" width="32.57421875" style="7" customWidth="1"/>
    <col min="2" max="5" width="11.7109375" style="7" customWidth="1"/>
    <col min="6" max="16384" width="9.140625" style="7" customWidth="1"/>
  </cols>
  <sheetData>
    <row r="1" spans="1:7" ht="12.75" customHeight="1">
      <c r="A1" s="329" t="s">
        <v>93</v>
      </c>
      <c r="B1" s="330"/>
      <c r="C1" s="6"/>
      <c r="D1" s="6"/>
      <c r="E1" s="6"/>
      <c r="F1" s="6"/>
      <c r="G1" s="6"/>
    </row>
    <row r="2" spans="1:2" ht="12.75">
      <c r="A2" s="330"/>
      <c r="B2" s="330"/>
    </row>
    <row r="3" ht="12.75"/>
    <row r="4" spans="1:7" ht="25.5" customHeight="1">
      <c r="A4" s="62" t="s">
        <v>74</v>
      </c>
      <c r="B4" s="42" t="s">
        <v>21</v>
      </c>
      <c r="C4" s="42" t="s">
        <v>18</v>
      </c>
      <c r="D4" s="42" t="s">
        <v>19</v>
      </c>
      <c r="E4" s="42" t="s">
        <v>20</v>
      </c>
      <c r="F4" s="70"/>
      <c r="G4" s="6"/>
    </row>
    <row r="5" spans="1:7" ht="12.75">
      <c r="A5" s="36" t="s">
        <v>16</v>
      </c>
      <c r="B5" s="88"/>
      <c r="C5" s="88"/>
      <c r="D5" s="88"/>
      <c r="E5" s="89"/>
      <c r="F5" s="70"/>
      <c r="G5" s="6"/>
    </row>
    <row r="6" spans="1:7" ht="12.75">
      <c r="A6" s="49" t="s">
        <v>17</v>
      </c>
      <c r="B6" s="53">
        <f>MAX(Inputs!$B$9-(Inputs!$B$7*(1-Inputs!$B$8)*'Cost Data'!$D$52),0)*'Cost Data'!$C$31</f>
        <v>0</v>
      </c>
      <c r="C6" s="53">
        <f>MAX(Inputs!$B$9-(Inputs!$B$7*(1-Inputs!$B$8)*'Cost Data'!$D$52),0)*'Cost Data'!$C$31*3</f>
        <v>0</v>
      </c>
      <c r="D6" s="53">
        <f>MAX(Inputs!$B$9-(Inputs!$B$7*(1-Inputs!$B$8)*'Cost Data'!$D$52),0)*'Cost Data'!$C$31*6</f>
        <v>0</v>
      </c>
      <c r="E6" s="54">
        <f>MAX(Inputs!$B$9-(Inputs!$B$7*(1-Inputs!$B$8)*'Cost Data'!$D$52),0)*'Cost Data'!$C$31*10</f>
        <v>0</v>
      </c>
      <c r="F6" s="70"/>
      <c r="G6" s="6"/>
    </row>
    <row r="7" spans="1:7" ht="12.75">
      <c r="A7" s="49" t="s">
        <v>107</v>
      </c>
      <c r="B7" s="53">
        <f>IF(B15="N/A",Inputs!$B$10*'Cost Data'!$C$32,MAX(Inputs!$B$10-((Inputs!$B$7*Inputs!$B$8)+(IF((Inputs!$B$22*Inputs!$B$18)&gt;Inputs!$B$23,Inputs!$B$18*(1-Inputs!$B$22)*'Cost Data'!$D$43,MAX(0,Inputs!$B$18-Inputs!$B$23)*'Cost Data'!$D$43))),0)*'Cost Data'!$C$32)</f>
        <v>0</v>
      </c>
      <c r="C7" s="53">
        <f>IF(B15="N/A",Inputs!$B$10*'Cost Data'!$C$32*3,MAX((Inputs!$B$10*3)-(((Inputs!$B$7*3)*Inputs!$B$8)+(IF((Inputs!$B$22*Inputs!$B$19)&gt;Inputs!$B$23,Inputs!$B$19*(1-Inputs!$B$22)*'Cost Data'!$D$43,MAX(0,Inputs!$B$19-Inputs!$B$23)*'Cost Data'!$D$43))),0)*'Cost Data'!$C$32)</f>
        <v>0</v>
      </c>
      <c r="D7" s="53">
        <f>IF(B15="N/A",Inputs!$B$10*'Cost Data'!$C$32*6,MAX((Inputs!$B$10*6)-(((Inputs!$B$7*6)*Inputs!$B$8)+(IF((Inputs!$B$22*Inputs!$B$20)&gt;Inputs!$B$23,Inputs!$B$20*(1-Inputs!$B$22)*'Cost Data'!$D$43,MAX(0,Inputs!$B$20-Inputs!$B$23)*'Cost Data'!$D$43))),0)*'Cost Data'!$C$32)</f>
        <v>0</v>
      </c>
      <c r="E7" s="54">
        <f>IF(B15="N/A",Inputs!$B$10*'Cost Data'!$C$32*10,MAX((Inputs!$B$10*10)-(((Inputs!$B$7*10)*Inputs!$B$8)+(IF((Inputs!$B$22*Inputs!$B$21)&gt;Inputs!$B$23,Inputs!$B$21*(1-Inputs!$B$22)*'Cost Data'!$D$43,MAX(0,Inputs!$B$21-Inputs!$B$23)*'Cost Data'!$D$43))),0)*'Cost Data'!$C$32)</f>
        <v>0</v>
      </c>
      <c r="F7" s="70"/>
      <c r="G7" s="6"/>
    </row>
    <row r="8" spans="1:7" ht="12.75">
      <c r="A8" s="49" t="s">
        <v>37</v>
      </c>
      <c r="B8" s="53">
        <f>IF(Inputs!$B$23&gt;Inputs!$D$18,(Inputs!$B$23-Inputs!$D$18)*'Cost Data'!$C$33,0)</f>
        <v>0</v>
      </c>
      <c r="C8" s="53">
        <f>IF(Inputs!$B$24&gt;Inputs!$D$19,(Inputs!$B$24-Inputs!$D$19)*'Cost Data'!$C$33,0)</f>
        <v>0</v>
      </c>
      <c r="D8" s="53">
        <f>IF(Inputs!$B$25&gt;Inputs!$D$20,(Inputs!$B$25-Inputs!$D$20)*'Cost Data'!$C$33,0)</f>
        <v>0</v>
      </c>
      <c r="E8" s="54">
        <f>IF(Inputs!$B$26&gt;Inputs!$D$21,(Inputs!$B$26-Inputs!$D$21)*'Cost Data'!$C$33,0)</f>
        <v>0</v>
      </c>
      <c r="F8" s="70"/>
      <c r="G8" s="101"/>
    </row>
    <row r="9" spans="1:7" ht="12.75">
      <c r="A9" s="49" t="s">
        <v>14</v>
      </c>
      <c r="B9" s="53">
        <f>IF(Inputs!$B$44&gt;Inputs!$D$40,(Inputs!$B$44-Inputs!$D$40)*'Cost Data'!$C$34,0)</f>
        <v>0</v>
      </c>
      <c r="C9" s="53">
        <f>IF(Inputs!$B$45&gt;Inputs!$D$41,(Inputs!$B$45-Inputs!$D$41)*'Cost Data'!$C$34,0)</f>
        <v>0</v>
      </c>
      <c r="D9" s="53">
        <f>IF(Inputs!$B$46&gt;Inputs!$D$42,(Inputs!$B$46-Inputs!$D$42)*'Cost Data'!$C$34,0)</f>
        <v>0</v>
      </c>
      <c r="E9" s="54">
        <f>IF(Inputs!$B$47&gt;Inputs!$D$43,(Inputs!$B$47-Inputs!$D$43)*'Cost Data'!$C$34,0)</f>
        <v>0</v>
      </c>
      <c r="F9" s="70"/>
      <c r="G9" s="6"/>
    </row>
    <row r="10" spans="1:7" ht="12.75">
      <c r="A10" s="49" t="s">
        <v>58</v>
      </c>
      <c r="B10" s="53">
        <f>IF($B$12="N/A",Inputs!$B$72*'Cost Data'!$C$35,IF(Inputs!$B$72&gt;Inputs!$B$63,(Inputs!$B$72-Inputs!$B$63)*'Cost Data'!$C$35,0))</f>
        <v>23.84</v>
      </c>
      <c r="C10" s="53">
        <f>IF($B$12="N/A",Inputs!$B$73*'Cost Data'!$C$35,IF(Inputs!$B$73&gt;Inputs!$B$64,(Inputs!$B$73-Inputs!$B$64)*'Cost Data'!$C$35,0))</f>
        <v>71.52</v>
      </c>
      <c r="D10" s="53">
        <f>IF($B$12="N/A",Inputs!$B$74*'Cost Data'!$C$35,IF(Inputs!$B$74&gt;Inputs!$B$65,(Inputs!$B$74-Inputs!$B$65)*'Cost Data'!$C$35,0))</f>
        <v>143.04</v>
      </c>
      <c r="E10" s="54">
        <f>IF($B$12="N/A",Inputs!$B$75*'Cost Data'!$C$35,IF(Inputs!$B$75&gt;Inputs!$B$66,(Inputs!$B$75-Inputs!$B$66)*'Cost Data'!$C$35,0))</f>
        <v>238.4</v>
      </c>
      <c r="F10" s="70"/>
      <c r="G10" s="6"/>
    </row>
    <row r="11" spans="1:7" ht="12.75">
      <c r="A11" s="36" t="s">
        <v>54</v>
      </c>
      <c r="B11" s="53"/>
      <c r="C11" s="53"/>
      <c r="D11" s="53"/>
      <c r="E11" s="54"/>
      <c r="F11" s="70"/>
      <c r="G11" s="9"/>
    </row>
    <row r="12" spans="1:7" ht="12.75">
      <c r="A12" s="49" t="s">
        <v>55</v>
      </c>
      <c r="B12" s="37" t="str">
        <f>IF(Lookup!$F$4="Yes",0,IF(MIN(Inputs!$B$66,Inputs!$B$75)+MIN(Inputs!$B$71,Inputs!$B$75)&lt;10000,"N/A",'Cost Data'!$C$13))</f>
        <v>N/A</v>
      </c>
      <c r="C12" s="37" t="str">
        <f>IF(Lookup!$F$4="Yes",0,IF(MIN(Inputs!$B$66,Inputs!$B$75)+MIN(Inputs!$B$71,Inputs!$B$75)&lt;10000,"N/A",'Cost Data'!$C$13))</f>
        <v>N/A</v>
      </c>
      <c r="D12" s="37" t="str">
        <f>IF(Lookup!$F$4="Yes",0,IF(MIN(Inputs!$B$66,Inputs!$B$75)+MIN(Inputs!$B$71,Inputs!$B$75)&lt;10000,"N/A",'Cost Data'!$C$13))</f>
        <v>N/A</v>
      </c>
      <c r="E12" s="38" t="str">
        <f>IF(Lookup!$F$4="Yes",0,IF(MIN(Inputs!$B$66,Inputs!$B$75)+MIN(Inputs!$B$71,Inputs!$B$75)&lt;10000,"N/A",'Cost Data'!$C$13))</f>
        <v>N/A</v>
      </c>
      <c r="F12" s="70"/>
      <c r="G12" s="9"/>
    </row>
    <row r="13" spans="1:7" ht="12.75">
      <c r="A13" s="49" t="s">
        <v>56</v>
      </c>
      <c r="B13" s="37" t="str">
        <f>IF(B12="N/A","N/A",'Cost Data'!$C$14*(MIN(Inputs!$B$63,Inputs!$B$72)+MIN(Inputs!$B$68,Inputs!$B$72)))</f>
        <v>N/A</v>
      </c>
      <c r="C13" s="37" t="str">
        <f>IF(C12="N/A","N/A",'Cost Data'!$C$14*(MIN(Inputs!$B$64,Inputs!$B$73)+MIN(Inputs!$B$69,Inputs!$B$73)))</f>
        <v>N/A</v>
      </c>
      <c r="D13" s="37" t="str">
        <f>IF(D12="N/A","N/A",'Cost Data'!$C$14*(MIN(Inputs!$B$65,Inputs!$B$74)+MIN(Inputs!$B$70,Inputs!$B$74)))</f>
        <v>N/A</v>
      </c>
      <c r="E13" s="38" t="str">
        <f>IF(E12="N/A","N/A",'Cost Data'!$C$14*(MIN(Inputs!$B$66,Inputs!$B$75)+MIN(Inputs!$B$71,Inputs!$B$75)))</f>
        <v>N/A</v>
      </c>
      <c r="F13" s="9"/>
      <c r="G13" s="9"/>
    </row>
    <row r="14" spans="1:7" ht="12.75">
      <c r="A14" s="49" t="s">
        <v>57</v>
      </c>
      <c r="B14" s="37" t="str">
        <f>IF(B12="N/A","N/A",'Cost Data'!$C$15*(MIN(Inputs!$B$63,Inputs!$B$72)+MIN(Inputs!$B$68,Inputs!$B$72)))</f>
        <v>N/A</v>
      </c>
      <c r="C14" s="37" t="str">
        <f>IF(C12="N/A","N/A",'Cost Data'!$C$15*(MIN(Inputs!$B$64,Inputs!$B$73)+MIN(Inputs!$B$69,Inputs!$B$73)))</f>
        <v>N/A</v>
      </c>
      <c r="D14" s="37" t="str">
        <f>IF(D12="N/A","N/A",'Cost Data'!$C$15*(MIN(Inputs!$B$65,Inputs!$B$74)+MIN(Inputs!$B$70,Inputs!$B$74)))</f>
        <v>N/A</v>
      </c>
      <c r="E14" s="38" t="str">
        <f>IF(E12="N/A","N/A",'Cost Data'!$C$15*(MIN(Inputs!$B$66,Inputs!$B$75)+MIN(Inputs!$B$71,Inputs!$B$75)))</f>
        <v>N/A</v>
      </c>
      <c r="F14" s="9"/>
      <c r="G14" s="9"/>
    </row>
    <row r="15" spans="1:7" ht="12.75">
      <c r="A15" s="49" t="s">
        <v>130</v>
      </c>
      <c r="B15" s="37">
        <f>IF(Lookup!$H$4="Yes",0,IF('Cost Data'!$C$21&gt;'Cost Data'!$C$22*MIN(Inputs!$B$10*10,((Inputs!$B$7*10*Inputs!$B$8)+(IF(Inputs!$B$21*Inputs!$B$22&lt;Inputs!$B$26,MAX(Inputs!$B$21-Inputs!$B$26,0),Inputs!$B$21-(Inputs!$B$21*Inputs!$B$22)))*'Cost Data'!$D$43)),"N/A",'Cost Data'!$C$21))</f>
        <v>0</v>
      </c>
      <c r="C15" s="37">
        <f>IF(Lookup!$H$4="Yes",0,IF('Cost Data'!$C$21&gt;'Cost Data'!$C$22*MIN(Inputs!$B$10*10,((Inputs!$B$7*10*Inputs!$B$8)+(IF(Inputs!$B$21*Inputs!$B$22&lt;Inputs!$B$26,MAX(Inputs!$B$21-Inputs!$B$26,0),Inputs!$B$21-(Inputs!$B$21*Inputs!$B$22)))*'Cost Data'!$D$43)),"N/A",'Cost Data'!$C$21))</f>
        <v>0</v>
      </c>
      <c r="D15" s="37">
        <f>IF(Lookup!$H$4="Yes",0,IF('Cost Data'!$C$21&gt;'Cost Data'!$C$22*MIN(Inputs!$B$10*10,((Inputs!$B$7*10*Inputs!$B$8)+(IF(Inputs!$B$21*Inputs!$B$22&lt;Inputs!$B$26,MAX(Inputs!$B$21-Inputs!$B$26,0),Inputs!$B$21-(Inputs!$B$21*Inputs!$B$22)))*'Cost Data'!$D$43)),"N/A",'Cost Data'!$C$21))</f>
        <v>0</v>
      </c>
      <c r="E15" s="38">
        <f>IF(Lookup!$H$4="Yes",0,IF('Cost Data'!$C$21&gt;'Cost Data'!$C$22*MIN(Inputs!$B$10*10,((Inputs!$B$7*10*Inputs!$B$8)+(IF(Inputs!$B$21*Inputs!$B$22&lt;Inputs!$B$26,MAX(Inputs!$B$21-Inputs!$B$26,0),Inputs!$B$21-(Inputs!$B$21*Inputs!$B$22)))*'Cost Data'!$D$43)),"N/A",'Cost Data'!$C$21))</f>
        <v>0</v>
      </c>
      <c r="F15" s="75"/>
      <c r="G15" s="9"/>
    </row>
    <row r="16" spans="1:7" ht="12.75">
      <c r="A16" s="49" t="s">
        <v>131</v>
      </c>
      <c r="B16" s="37">
        <f>IF(B15="N/A","N/A",MIN(Inputs!$B$10*'Cost Data'!$C$20*'Cost Data'!$C$19,((Inputs!$B$7*Inputs!$B$8)+(IF(Inputs!$D$18*Inputs!$B$22&lt;Inputs!$B$23,MAX(Inputs!$D$18-Inputs!$B$23,0),Inputs!$D$18-(Inputs!$D$18*Inputs!$B$22)))*'Cost Data'!$D$43)*'Cost Data'!$C$20*'Cost Data'!$C$19))</f>
        <v>29.54645161290323</v>
      </c>
      <c r="C16" s="37">
        <f>IF(C15="N/A","N/A",MIN(Inputs!$B$10*3*'Cost Data'!$C$20*'Cost Data'!$C$19,((Inputs!$B$7*3*Inputs!$B$8)+(IF(Inputs!$D$19*Inputs!$B$22&lt;Inputs!$B$24,MAX(Inputs!$D$19-Inputs!$B$24,0),Inputs!$D$19-(Inputs!$D$19*Inputs!$B$22)))*'Cost Data'!$D$43)*'Cost Data'!$C$20*'Cost Data'!$C$19))</f>
        <v>88.63935483870968</v>
      </c>
      <c r="D16" s="37">
        <f>IF(D15="N/A","N/A",MIN(Inputs!$B$10*6*'Cost Data'!$C$20*'Cost Data'!$C$19,((Inputs!$B$7*6*Inputs!$B$8)+(IF(Inputs!$D$20*Inputs!$B$22&lt;Inputs!$B$25,MAX(Inputs!$D$20-Inputs!$B$25,0),Inputs!$D$20-(Inputs!$D$20*Inputs!$B$22)))*'Cost Data'!$D42)*'Cost Data'!$C$20*'Cost Data'!$C$19))</f>
        <v>177.27870967741936</v>
      </c>
      <c r="E16" s="38">
        <f>IF(B15="N/A","N/A",MIN(Inputs!$B$10*10*'Cost Data'!$C$20*'Cost Data'!$C$19,((Inputs!$B$7*10*Inputs!$B$8)+(IF(Inputs!$D$21*Inputs!$B$22&lt;Inputs!$B$26,MAX(Inputs!$D$21-Inputs!$B$26,0),Inputs!$D$21-(Inputs!$D$21*Inputs!$B$22)))*'Cost Data'!$D$43)*'Cost Data'!$C$20*'Cost Data'!$C$19))</f>
        <v>295.4645161290323</v>
      </c>
      <c r="F16" s="9"/>
      <c r="G16" s="9"/>
    </row>
    <row r="17" spans="1:7" ht="12.75">
      <c r="A17" s="49" t="s">
        <v>127</v>
      </c>
      <c r="B17" s="37">
        <f>IF(B15="N/A","N/A",MIN(Inputs!$B$10*'Cost Data'!$C$18*'Cost Data'!$C$19,((Inputs!$B$7*Inputs!$B$8)+(IF(Inputs!$D$18*Inputs!$B$22&lt;Inputs!$B$23,MAX(Inputs!$D$18-Inputs!$B$23,0),Inputs!$D$18-(Inputs!$D$18*Inputs!$B$22)))*'Cost Data'!$D$43)*'Cost Data'!$C$18*'Cost Data'!$C$19))</f>
        <v>13.978494623655914</v>
      </c>
      <c r="C17" s="37">
        <f>IF(C15="N/A","N/A",MIN(Inputs!$B$10*3*'Cost Data'!$C$18*'Cost Data'!$C$19,((Inputs!$B$7*3*Inputs!$B$8)+(IF(Inputs!$D$19*Inputs!$B$22&lt;Inputs!$B$24,MAX(Inputs!$D$19-Inputs!$B$24,0),Inputs!$D$19-(Inputs!$D$19*Inputs!$B$22)))*'Cost Data'!$D$43)*'Cost Data'!$C$18*'Cost Data'!$C$19))</f>
        <v>41.935483870967744</v>
      </c>
      <c r="D17" s="37">
        <f>IF(D15="N/A","N/A",MIN(Inputs!$B$10*6*'Cost Data'!$C$18*'Cost Data'!$C$19,((Inputs!$B$7*6*Inputs!$B$8)+(IF(Inputs!$D$20*Inputs!$B$22&lt;Inputs!$B$25,MAX(Inputs!$D$20-Inputs!$B$25,0),Inputs!$D$20-(Inputs!$D$20*Inputs!$B$22)))*'Cost Data'!$D43)*'Cost Data'!$C$18*'Cost Data'!$C$19))</f>
        <v>83.87096774193549</v>
      </c>
      <c r="E17" s="38">
        <f>IF(B15="N/A","N/A",MIN(Inputs!$B$10*10*'Cost Data'!$C$18*'Cost Data'!$C$19,((Inputs!$B$7*10*Inputs!$B$8)+(IF(Inputs!$D$21*Inputs!$B$22&lt;Inputs!$B$26,MAX(Inputs!$D$21-Inputs!$B$26,0),Inputs!$D$21-(Inputs!$D$21*Inputs!$B$22)))*'Cost Data'!$D$43)*'Cost Data'!$C$18*'Cost Data'!$C$19))</f>
        <v>139.78494623655914</v>
      </c>
      <c r="F17" s="9"/>
      <c r="G17" s="9"/>
    </row>
    <row r="18" spans="1:7" s="14" customFormat="1" ht="12.75">
      <c r="A18" s="49" t="s">
        <v>73</v>
      </c>
      <c r="B18" s="53"/>
      <c r="C18" s="53"/>
      <c r="D18" s="53"/>
      <c r="E18" s="54"/>
      <c r="F18" s="13"/>
      <c r="G18" s="13"/>
    </row>
    <row r="19" spans="1:7" s="14" customFormat="1" ht="12.75">
      <c r="A19" s="49" t="s">
        <v>104</v>
      </c>
      <c r="B19" s="53">
        <f>IF($B$15="N/A",IF(Lookup!$E$4="Yes",(((Inputs!$B$7*Inputs!$B$8)+(MAX(0,(((Inputs!$B$7*(1-Inputs!$B$8))*'Cost Data'!$D$52)-Inputs!$B$9))*(1/'Cost Data'!$D$52)))*'Cost Data'!$D$51)*Inputs!$B$13,(((Inputs!$B$7*Inputs!$B$8)+(MAX(0,(((Inputs!$B$7*(1-Inputs!$B$8))*'Cost Data'!$D$52)-Inputs!$B$9))*(1/'Cost Data'!$D$52)))*'Cost Data'!$D$51)*VLOOKUP(Lookup!$I$9,'Cost Data'!$A$4:$C$10,3)),IF(Lookup!$E$4="Yes",(MAX(0,((Inputs!$B$7*Inputs!$B$8)-Inputs!$B$10))+MAX(0,(((Inputs!$B$7*(1-Inputs!$B$8))*'Cost Data'!$D$52)-Inputs!$B$9)/'Cost Data'!$D$52))*'Cost Data'!$D$51*Inputs!$B$13,(MAX(0,((Inputs!$B$7*Inputs!$B$8)-Inputs!$B$10))+MAX(0,(((Inputs!$B$7*(1-Inputs!$B$8))*'Cost Data'!$D$52)-Inputs!$B$9)/'Cost Data'!$D$52))*'Cost Data'!$D$51*VLOOKUP(Lookup!$I$9,'Cost Data'!$A$4:$C$10,3)))</f>
        <v>70</v>
      </c>
      <c r="C19" s="53">
        <f>IF($B$15="N/A",IF(Lookup!$E$4="Yes",(((Inputs!$B$7*Inputs!$B$8)+(MAX(0,(((Inputs!$B$7*(1-Inputs!$B$8))*'Cost Data'!$D$52)-Inputs!$B$9))*(1/'Cost Data'!$D$52)))*'Cost Data'!$D$51)*Inputs!$B$13,(((Inputs!$B$7*Inputs!$B$8)+(MAX(0,(((Inputs!$B$7*(1-Inputs!$B$8))*'Cost Data'!$D$52)-Inputs!$B$9))*(1/'Cost Data'!$D$52)))*'Cost Data'!$D$51)*VLOOKUP(Lookup!$I$9,'Cost Data'!$A$4:$C$10,3)),IF(Lookup!$E$4="Yes",(MAX(0,((Inputs!$B$7*Inputs!$B$8)-Inputs!$B$10))+MAX(0,(((Inputs!$B$7*(1-Inputs!$B$8))*'Cost Data'!$D$52)-Inputs!$B$9)/'Cost Data'!$D$52))*'Cost Data'!$D$51*Inputs!$B$13,(MAX(0,((Inputs!$B$7*Inputs!$B$8)-Inputs!$B$10))+MAX(0,(((Inputs!$B$7*(1-Inputs!$B$8))*'Cost Data'!$D$52)-Inputs!$B$9)/'Cost Data'!$D$52))*'Cost Data'!$D$51*VLOOKUP(Lookup!$I$9,'Cost Data'!$A$4:$C$10,3)))*3</f>
        <v>210</v>
      </c>
      <c r="D19" s="53">
        <f>IF($B$15="N/A",IF(Lookup!$E$4="Yes",(((Inputs!$B$7*Inputs!$B$8)+(MAX(0,(((Inputs!$B$7*(1-Inputs!$B$8))*'Cost Data'!$D$52)-Inputs!$B$9))*(1/'Cost Data'!$D$52)))*'Cost Data'!$D$51)*Inputs!$B$13,(((Inputs!$B$7*Inputs!$B$8)+(MAX(0,(((Inputs!$B$7*(1-Inputs!$B$8))*'Cost Data'!$D$52)-Inputs!$B$9))*(1/'Cost Data'!$D$52)))*'Cost Data'!$D$51)*VLOOKUP(Lookup!$I$9,'Cost Data'!$A$4:$C$10,3)),IF(Lookup!$E$4="Yes",(MAX(0,((Inputs!$B$7*Inputs!$B$8)-Inputs!$B$10))+MAX(0,(((Inputs!$B$7*(1-Inputs!$B$8))*'Cost Data'!$D$52)-Inputs!$B$9)/'Cost Data'!$D$52))*'Cost Data'!$D$51*Inputs!$B$13,(MAX(0,((Inputs!$B$7*Inputs!$B$8)-Inputs!$B$10))+MAX(0,(((Inputs!$B$7*(1-Inputs!$B$8))*'Cost Data'!$D$52)-Inputs!$B$9)/'Cost Data'!$D$52))*'Cost Data'!$D$51*VLOOKUP(Lookup!$I$9,'Cost Data'!$A$4:$C$10,3)))*6</f>
        <v>420</v>
      </c>
      <c r="E19" s="54">
        <f>IF($B$15="N/A",IF(Lookup!$E$4="Yes",(((Inputs!$B$7*Inputs!$B$8)+(MAX(0,(((Inputs!$B$7*(1-Inputs!$B$8))*'Cost Data'!$D$52)-Inputs!$B$9))*(1/'Cost Data'!$D$52)))*'Cost Data'!$D$51)*Inputs!$B$13,(((Inputs!$B$7*Inputs!$B$8)+(MAX(0,(((Inputs!$B$7*(1-Inputs!$B$8))*'Cost Data'!$D$52)-Inputs!$B$9))*(1/'Cost Data'!$D$52)))*'Cost Data'!$D$51)*VLOOKUP(Lookup!$I$9,'Cost Data'!$A$4:$C$10,3)),IF(Lookup!$E$4="Yes",(MAX(0,((Inputs!$B$7*Inputs!$B$8)-Inputs!$B$10))+MAX(0,(((Inputs!$B$7*(1-Inputs!$B$8))*'Cost Data'!$D$52)-Inputs!$B$9)/'Cost Data'!$D$52))*'Cost Data'!$D$51*Inputs!$B$13,(MAX(0,((Inputs!$B$7*Inputs!$B$8)-Inputs!$B$10))+MAX(0,(((Inputs!$B$7*(1-Inputs!$B$8))*'Cost Data'!$D$52)-Inputs!$B$9)/'Cost Data'!$D$52))*'Cost Data'!$D$51*VLOOKUP(Lookup!$I$9,'Cost Data'!$A$4:$C$10,3)))*10</f>
        <v>700</v>
      </c>
      <c r="F19" s="13"/>
      <c r="G19" s="13"/>
    </row>
    <row r="20" spans="1:7" s="14" customFormat="1" ht="12.75">
      <c r="A20" s="49" t="s">
        <v>39</v>
      </c>
      <c r="B20" s="37">
        <f>IF(B15="N/A",MAX(0,Inputs!$B$18-Inputs!$B$23),MAX(0,(Inputs!$B$18-MIN(Inputs!$B$18,Inputs!$B$23)-IF(Inputs!$B$23&gt;Inputs!$B$18,0,IF(Inputs!$B$7*Inputs!$B$8&gt;Inputs!$B$10,0,IF(Inputs!$B$18*Inputs!$B$22&gt;Inputs!$B$23,(MIN((Inputs!$B$18*(1-Inputs!$B$22))*'Cost Data'!$D$43,(Inputs!$B$10-(Inputs!$B$7*Inputs!$B$9))))/'Cost Data'!$D$43,(MIN(((Inputs!$B$18-Inputs!$B$23)*'Cost Data'!$D$43),Inputs!$B$10-(Inputs!$B$7*Inputs!$B$8)))/'Cost Data'!$D$43))))))*'Cost Data'!$D$42*IF(Lookup!D4="Yes",Inputs!B28,VLOOKUP(Lookup!$I$9,'Cost Data'!$A$4:$C$10,3))</f>
        <v>11.25</v>
      </c>
      <c r="C20" s="37">
        <f>IF(B15="N/A",MAX(0,Inputs!$B$19-Inputs!$B$24),MAX(0,(Inputs!$B$19-MIN(Inputs!$B$19,Inputs!$B$24)-IF(Inputs!$B$24&gt;Inputs!$B$19,0,IF(Inputs!$B$7*Inputs!$B$8&gt;Inputs!$B$10,0,IF(Inputs!$B$19*Inputs!$B$22&gt;Inputs!$B$24,(MIN((Inputs!$B$19*(1-Inputs!$B$22))*'Cost Data'!$D$43,(Inputs!$B$10-(Inputs!$B$7*Inputs!$B$9))))/'Cost Data'!$D$43,(MIN(((Inputs!$B$19-Inputs!$B$24)*'Cost Data'!$D$43),Inputs!$B$10-(Inputs!$B$7*Inputs!$B$8)))/'Cost Data'!$D$43))))))*'Cost Data'!$D$42*IF(Lookup!D4="Yes",Inputs!B28,VLOOKUP(Lookup!$I$9,'Cost Data'!$A$4:$C$10,3))</f>
        <v>33.75</v>
      </c>
      <c r="D20" s="37">
        <f>IF(B15="N/A",MAX(0,Inputs!$B$20-Inputs!$B$25),MAX(0,(Inputs!$B$20-MIN(Inputs!$B$20,Inputs!$B$25)-IF(Inputs!$B$25&gt;Inputs!$B$20,0,IF(Inputs!$B$7*Inputs!$B$8&gt;Inputs!$B$10,0,IF(Inputs!$B$20*Inputs!$B$22&gt;Inputs!$B$25,(MIN((Inputs!$B$20*(1-Inputs!$B$22))*'Cost Data'!$D$43,(Inputs!$B$10-(Inputs!$B$7*Inputs!$B$9))))/'Cost Data'!$D$43,(MIN(((Inputs!$B$20-Inputs!$B$25)*'Cost Data'!$D$43),Inputs!$B$10-(Inputs!$B$7*Inputs!$B$8)))/'Cost Data'!$D$43))))))*'Cost Data'!$D$42*IF(Lookup!D4="Yes",Inputs!B28,VLOOKUP(Lookup!$I$9,'Cost Data'!$A$4:$C$10,3))</f>
        <v>67.5</v>
      </c>
      <c r="E20" s="38">
        <f>IF(B15="N/A",MAX(0,Inputs!$B$21-Inputs!$B$26),MAX(0,(Inputs!$B$21-MIN(Inputs!$B$21,Inputs!$B$26)-IF(Inputs!$B$26&gt;Inputs!$B$21,0,IF(Inputs!$B$7*Inputs!$B$8&gt;Inputs!$B$10,0,IF(Inputs!$B$21*Inputs!$B$22&gt;Inputs!$B$26,(MIN((Inputs!$B$21*(1-Inputs!$B$22))*'Cost Data'!$D$43,(Inputs!$B$10-(Inputs!$B$7*Inputs!$B$9))))/'Cost Data'!$D$43,(MIN(((Inputs!$B$21-Inputs!$B$26)*'Cost Data'!$D$43),Inputs!$B$10-(Inputs!$B$7*Inputs!$B$8)))/'Cost Data'!$D$43))))))*'Cost Data'!$D$42*IF(Lookup!D4="Yes",Inputs!B28,VLOOKUP(Lookup!$I$9,'Cost Data'!$A$4:$C$10,3))</f>
        <v>112.5</v>
      </c>
      <c r="F20" s="13"/>
      <c r="G20" s="13"/>
    </row>
    <row r="21" spans="1:9" s="14" customFormat="1" ht="12.75">
      <c r="A21" s="49" t="s">
        <v>22</v>
      </c>
      <c r="B21" s="53">
        <f>IF(Lookup!$C$4="Yes",IF(Inputs!$D$40&gt;Inputs!$B$44,(Inputs!$D$40-Inputs!$B$44)*'Cost Data'!$D$38*Inputs!$B$49,0)+Inputs!$B$40*Inputs!$C$40*'Cost Data'!$D$38*Inputs!$B$49,IF(Inputs!$D$40&gt;Inputs!$B$44,(Inputs!$D$40-Inputs!$B$44)*'Cost Data'!$D$38*VLOOKUP(Lookup!$I$9,'Cost Data'!$A$4:$C$10,3),0)+Inputs!$B$40*Inputs!$C$40*'Cost Data'!$D$38*VLOOKUP(Lookup!$I$9,'Cost Data'!$A$4:$C$10,3))</f>
        <v>16.874999999999996</v>
      </c>
      <c r="C21" s="53">
        <f>IF(Lookup!$C$4="Yes",IF(Inputs!$D$41&gt;Inputs!$B$45,(Inputs!$D$41-Inputs!$B$45)*'Cost Data'!$D$38*Inputs!$B$49,0)+Inputs!$B$41*Inputs!$C$40*'Cost Data'!$D$38*Inputs!$B$49,IF(Inputs!$D$41&gt;Inputs!$B$45,(Inputs!$D$41-Inputs!$B$45)*'Cost Data'!$D$38*VLOOKUP(Lookup!$I$9,'Cost Data'!$A$4:$C$10,3),0)+Inputs!$B$41*Inputs!$C$40*'Cost Data'!$D$38*VLOOKUP(Lookup!$I$9,'Cost Data'!$A$4:$C$10,3))</f>
        <v>50.62499999999999</v>
      </c>
      <c r="D21" s="53">
        <f>IF(Lookup!$C$4="Yes",IF(Inputs!$D$42&gt;Inputs!$B$46,(Inputs!$D$42-Inputs!$B$46)*'Cost Data'!$D$38*Inputs!$B$49,0)+Inputs!$B$42*Inputs!$C$40*'Cost Data'!$D$38*Inputs!$B$49,IF(Inputs!$D$42&gt;Inputs!$B$46,(Inputs!$D$42-Inputs!$B$46)*'Cost Data'!$D$38*VLOOKUP(Lookup!$I$9,'Cost Data'!$A$4:$C$10,3),0)+Inputs!$B$42*Inputs!$C$40*'Cost Data'!$D$38*VLOOKUP(Lookup!$I$9,'Cost Data'!$A$4:$C$10,3))</f>
        <v>101.24999999999999</v>
      </c>
      <c r="E21" s="54">
        <f>IF(Lookup!$C$4="Yes",IF(Inputs!$D$43&gt;Inputs!$B$47,(Inputs!$D$43-Inputs!$B$47)*'Cost Data'!$D$38*Inputs!$B$49,0)+Inputs!$B$43*Inputs!$C$40*'Cost Data'!$D$38*Inputs!$B$49,IF(Inputs!$D$43&gt;Inputs!$B$47,(Inputs!$D$43-Inputs!$B$47)*'Cost Data'!$D$38*VLOOKUP(Lookup!$I$9,'Cost Data'!$A$4:$C$10,3),0)+Inputs!$B$43*Inputs!$C$40*'Cost Data'!$D$38*VLOOKUP(Lookup!$I$9,'Cost Data'!$A$4:$C$10,3))</f>
        <v>168.75</v>
      </c>
      <c r="F21" s="13"/>
      <c r="G21" s="13"/>
      <c r="I21" s="296"/>
    </row>
    <row r="22" spans="1:9" s="14" customFormat="1" ht="12.75">
      <c r="A22" s="49" t="s">
        <v>24</v>
      </c>
      <c r="B22" s="53">
        <f>IF($B$12="N/A",IF(Lookup!$B$4="Yes",Inputs!$B$68*Inputs!$B$89,Inputs!$B$68*VLOOKUP(Lookup!$I$9,'Cost Data'!$A$4:$C$10,3)),IF(Lookup!$B$4="Yes",IF(Inputs!$B$68&lt;Inputs!$B$72,0,(Inputs!$B$68-Inputs!$B$72)*Inputs!$B$89),IF(Inputs!$B$68&gt;Inputs!$B$72,0,(Inputs!$B$68-Inputs!$B$72)*VLOOKUP(Lookup!$I$9,'Cost Data'!$A$4:$C$10,3))))</f>
        <v>15</v>
      </c>
      <c r="C22" s="53">
        <f>IF($B$12="N/A",IF(Lookup!$B$4="Yes",Inputs!$B$69*Inputs!$B$89,Inputs!$B$69*VLOOKUP(Lookup!$I$9,'Cost Data'!$A$4:$C$10,3)),IF(Lookup!$B$4="Yes",IF(Inputs!$B$69&lt;Inputs!$B$73,0,(Inputs!$B$69-Inputs!$B$73)*Inputs!$B$89),IF(Inputs!$B$69&gt;Inputs!$B$73,0,(Inputs!$B$69-Inputs!$B$73)*VLOOKUP(Lookup!$I$9,'Cost Data'!$A$4:$C$10,3))))</f>
        <v>45</v>
      </c>
      <c r="D22" s="53">
        <f>IF($B$12="N/A",IF(Lookup!$B$4="Yes",Inputs!$B$70*Inputs!$B$89,Inputs!$B$70*VLOOKUP(Lookup!$I$9,'Cost Data'!$A$4:$C$10,3)),IF(Lookup!$B$4="Yes",IF(Inputs!$B$70&lt;Inputs!$B$74,0,(Inputs!$B$70-Inputs!$B$74)*Inputs!$B$89),IF(Inputs!$B$70&gt;Inputs!$B$74,0,(Inputs!$B$70-Inputs!$B$74)*VLOOKUP(Lookup!$I$9,'Cost Data'!$A$4:$C$10,3))))</f>
        <v>90</v>
      </c>
      <c r="E22" s="54">
        <f>IF($B$12="N/A",IF(Lookup!$B$4="Yes",Inputs!$B$71*Inputs!$B$89,Inputs!$B$71*VLOOKUP(Lookup!$I$9,'Cost Data'!$A$4:$C$10,3)),IF(Lookup!$B$4="Yes",IF(Inputs!$B$71&lt;Inputs!$B$75,0,(Inputs!$B$71-Inputs!$B$75)*Inputs!$B$89),IF(Inputs!$B$71&gt;Inputs!$B$75,0,(Inputs!$B$71-Inputs!$B$75)*VLOOKUP(Lookup!$I$9,'Cost Data'!$A$4:$C$10,3))))</f>
        <v>150</v>
      </c>
      <c r="F22" s="13"/>
      <c r="G22" s="13"/>
      <c r="H22" s="297"/>
      <c r="I22" s="297"/>
    </row>
    <row r="23" spans="1:7" s="14" customFormat="1" ht="12.75">
      <c r="A23" s="49" t="s">
        <v>23</v>
      </c>
      <c r="B23" s="53">
        <f>IF($B$12="N/A",IF(Lookup!$A$4="Yes",Inputs!$B$63*Inputs!$B$77,Inputs!$B$63*VLOOKUP(Lookup!$I$9,'Cost Data'!$A$4:$C$10,3)),IF(Lookup!$A$4="Yes",IF(Inputs!$B$63&lt;Inputs!$B$72,0,(Inputs!$B$63-Inputs!$B$72)*Inputs!$B$77),IF(Inputs!$B$63&gt;Inputs!$B$72,0,(Inputs!$B$63-Inputs!$B$72)*VLOOKUP(Lookup!$I$9,'Cost Data'!$A$4:$C$10,3))))</f>
        <v>15</v>
      </c>
      <c r="C23" s="53">
        <f>IF($B$12="N/A",IF(Lookup!$A$4="Yes",Inputs!$B$64*Inputs!$B$77,Inputs!$B$64*VLOOKUP(Lookup!$I$9,'Cost Data'!$A$4:$C$10,3)),IF(Lookup!$A$4="Yes",IF(Inputs!$B$64&lt;Inputs!$B$73,0,(Inputs!$B$64-Inputs!$B$73)*Inputs!$B$77),IF(Inputs!$B$64&gt;Inputs!$B$73,0,(Inputs!$B$64-Inputs!$B$73)*VLOOKUP(Lookup!$I$9,'Cost Data'!$A$4:$C$10,3))))</f>
        <v>45</v>
      </c>
      <c r="D23" s="53">
        <f>IF($B$12="N/A",IF(Lookup!$A$4="Yes",Inputs!$B$65*Inputs!$B$77,Inputs!$B$65*VLOOKUP(Lookup!$I$9,'Cost Data'!$A$4:$C$10,3)),IF(Lookup!$A$4="Yes",IF(Inputs!$B$65&lt;Inputs!$B$74,0,(Inputs!$B$65-Inputs!$B$74)*Inputs!$B$77),IF(Inputs!$B$65&gt;Inputs!$B$74,0,(Inputs!$B$65-Inputs!$B$74)*VLOOKUP(Lookup!$I$9,'Cost Data'!$A$4:$C$10,3))))</f>
        <v>90</v>
      </c>
      <c r="E23" s="54">
        <f>IF($B$12="N/A",IF(Lookup!$A$4="Yes",Inputs!$B$66*Inputs!$B$77,Inputs!$B$66*VLOOKUP(Lookup!$I$9,'Cost Data'!$A$4:$C$10,3)),IF(Lookup!$A$4="Yes",IF(Inputs!$B$66&lt;Inputs!$B$75,0,(Inputs!$B$66-Inputs!$B$75)*Inputs!$B$77),IF(Inputs!$B$66&gt;Inputs!$B$75,0,(Inputs!$B$66-Inputs!$B$75)*VLOOKUP(Lookup!$I$9,'Cost Data'!$A$4:$C$10,3))))</f>
        <v>150</v>
      </c>
      <c r="F23" s="13"/>
      <c r="G23" s="13"/>
    </row>
    <row r="24" spans="1:7" s="14" customFormat="1" ht="12.75">
      <c r="A24" s="39" t="s">
        <v>25</v>
      </c>
      <c r="B24" s="40">
        <f>SUM(B6:B23)</f>
        <v>195.48994623655915</v>
      </c>
      <c r="C24" s="40">
        <f>SUM(C6:C23)</f>
        <v>586.4698387096774</v>
      </c>
      <c r="D24" s="40">
        <f>SUM(D6:D23)</f>
        <v>1172.939677419355</v>
      </c>
      <c r="E24" s="97">
        <f>SUM(E6:E23)</f>
        <v>1954.8994623655913</v>
      </c>
      <c r="F24" s="75">
        <f>E24/10</f>
        <v>195.48994623655912</v>
      </c>
      <c r="G24" s="13"/>
    </row>
    <row r="25" spans="1:7" s="14" customFormat="1" ht="12.75">
      <c r="A25" s="39" t="s">
        <v>96</v>
      </c>
      <c r="B25" s="40">
        <f>B24</f>
        <v>195.48994623655915</v>
      </c>
      <c r="C25" s="40">
        <f>C24/3</f>
        <v>195.48994623655915</v>
      </c>
      <c r="D25" s="40">
        <f>D24/6</f>
        <v>195.48994623655915</v>
      </c>
      <c r="E25" s="97">
        <f>E24/10</f>
        <v>195.48994623655912</v>
      </c>
      <c r="F25" s="75"/>
      <c r="G25" s="13"/>
    </row>
    <row r="26" spans="1:7" ht="12.75">
      <c r="A26" s="2"/>
      <c r="B26" s="9"/>
      <c r="C26" s="9"/>
      <c r="D26" s="9"/>
      <c r="E26" s="9"/>
      <c r="F26" s="9"/>
      <c r="G26" s="9"/>
    </row>
    <row r="27" spans="1:7" ht="25.5" customHeight="1">
      <c r="A27" s="62" t="s">
        <v>75</v>
      </c>
      <c r="B27" s="42" t="s">
        <v>21</v>
      </c>
      <c r="C27" s="42" t="s">
        <v>18</v>
      </c>
      <c r="D27" s="42" t="s">
        <v>19</v>
      </c>
      <c r="E27" s="42" t="s">
        <v>20</v>
      </c>
      <c r="F27" s="9"/>
      <c r="G27" s="9"/>
    </row>
    <row r="28" spans="1:7" ht="12.75">
      <c r="A28" s="36" t="s">
        <v>16</v>
      </c>
      <c r="B28" s="88"/>
      <c r="C28" s="88"/>
      <c r="D28" s="88"/>
      <c r="E28" s="89"/>
      <c r="F28" s="9"/>
      <c r="G28" s="9"/>
    </row>
    <row r="29" spans="1:7" ht="12.75">
      <c r="A29" s="36" t="s">
        <v>17</v>
      </c>
      <c r="B29" s="53">
        <f>MAX(Inputs!$B$9-(Inputs!$B$7*(1-Inputs!$B$8)*'Cost Data'!$D$52),0)*'Cost Data'!$C$31</f>
        <v>0</v>
      </c>
      <c r="C29" s="53">
        <f>MAX(Inputs!$B$9-(Inputs!$B$7*(1-Inputs!$B$8)*'Cost Data'!$D$52),0)*'Cost Data'!$C$31*3</f>
        <v>0</v>
      </c>
      <c r="D29" s="53">
        <f>MAX(Inputs!$B$9-(Inputs!$B$7*(1-Inputs!$B$8)*'Cost Data'!$D$52),0)*'Cost Data'!$C$31*6</f>
        <v>0</v>
      </c>
      <c r="E29" s="54">
        <f>MAX(Inputs!$B$9-(Inputs!$B$7*(1-Inputs!$B$8)*'Cost Data'!$D$52),0)*'Cost Data'!$C$31*10</f>
        <v>0</v>
      </c>
      <c r="F29" s="9"/>
      <c r="G29" s="9"/>
    </row>
    <row r="30" spans="1:7" ht="12.75">
      <c r="A30" s="36" t="s">
        <v>107</v>
      </c>
      <c r="B30" s="53">
        <f>IF(B38="N/A",Inputs!$B$10*'Cost Data'!$C$32,MAX(Inputs!$B$10-((Inputs!$B$7*Inputs!$B$8)+(IF((Inputs!$B$22*Inputs!$B$18)&gt;Inputs!$B$23,Inputs!$B$18*(1-Inputs!$B$22)*'Cost Data'!$D$43,MAX(0,Inputs!$B$18-Inputs!$B$23)*'Cost Data'!$D$43))),0)*'Cost Data'!$C$32)</f>
        <v>0</v>
      </c>
      <c r="C30" s="53">
        <f>IF(C38="N/A",Inputs!$B$10*'Cost Data'!$C$32*3,MAX((Inputs!$B$10*3)-(((Inputs!$B$7*3)*Inputs!$B$8)+(IF((Inputs!$B$22*Inputs!$B$19)&gt;Inputs!$B$23,Inputs!$B$19*(1-Inputs!$B$22)*'Cost Data'!$D$43,MAX(0,Inputs!$B$19-Inputs!$B$23)*'Cost Data'!$D$43))),0)*'Cost Data'!$C$32)</f>
        <v>0</v>
      </c>
      <c r="D30" s="53">
        <f>IF(D38="N/A",Inputs!$B$10*'Cost Data'!$C$32*6,MAX((Inputs!$B$10*6)-(((Inputs!$B$7*6)*Inputs!$B$8)+(IF((Inputs!$B$22*Inputs!$B$20)&gt;Inputs!$B$23,Inputs!$B$20*(1-Inputs!$B$22)*'Cost Data'!$D$43,MAX(0,Inputs!$B$20-Inputs!$B$23)*'Cost Data'!$D$43))),0)*'Cost Data'!$C$32)</f>
        <v>0</v>
      </c>
      <c r="E30" s="54">
        <f>IF(E38="N/A",Inputs!$B$10*'Cost Data'!$C$32*10,MAX((Inputs!$B$10*10)-(((Inputs!$B$7*10)*Inputs!$B$8)+(IF((Inputs!$B$22*Inputs!$B$21)&gt;Inputs!$B$23,Inputs!$B$21*(1-Inputs!$B$22)*'Cost Data'!$D$43,MAX(0,Inputs!$B$21-Inputs!$B$23)*'Cost Data'!$D$43))),0)*'Cost Data'!$C$32)</f>
        <v>0</v>
      </c>
      <c r="F30" s="9"/>
      <c r="G30" s="9"/>
    </row>
    <row r="31" spans="1:7" ht="12.75">
      <c r="A31" s="36" t="s">
        <v>37</v>
      </c>
      <c r="B31" s="53">
        <f>IF(Inputs!$B$23&gt;Inputs!$D$18,(Inputs!$B$23-Inputs!$D$18)*'Cost Data'!$C$33,0)</f>
        <v>0</v>
      </c>
      <c r="C31" s="53">
        <f>IF(Inputs!$B$24&gt;Inputs!$D$19,(Inputs!$B$24-Inputs!$D$19)*'Cost Data'!$C$33,0)</f>
        <v>0</v>
      </c>
      <c r="D31" s="53">
        <f>IF(Inputs!$B$25&gt;Inputs!$D$20,(Inputs!$B$25-Inputs!$D$20)*'Cost Data'!$C$33,0)</f>
        <v>0</v>
      </c>
      <c r="E31" s="54">
        <f>IF(Inputs!$B$26&gt;Inputs!$D$21,(Inputs!$B$26-Inputs!$D$21)*'Cost Data'!$C$33,0)</f>
        <v>0</v>
      </c>
      <c r="F31" s="9"/>
      <c r="G31" s="9"/>
    </row>
    <row r="32" spans="1:7" ht="12.75">
      <c r="A32" s="36" t="s">
        <v>14</v>
      </c>
      <c r="B32" s="53">
        <f>IF(Inputs!$B$44&gt;Inputs!$D$40,(Inputs!$B$44-Inputs!$D$40)*'Cost Data'!$C$34,0)</f>
        <v>0</v>
      </c>
      <c r="C32" s="53">
        <f>IF(Inputs!$B$45&gt;Inputs!$D$41,(Inputs!$B$45-Inputs!$D$41)*'Cost Data'!$C$34,0)</f>
        <v>0</v>
      </c>
      <c r="D32" s="53">
        <f>IF(Inputs!$B$46&gt;Inputs!$D$42,(Inputs!$B$46-Inputs!$D$42)*'Cost Data'!$C$34,0)</f>
        <v>0</v>
      </c>
      <c r="E32" s="54">
        <f>IF(Inputs!$B$47&gt;Inputs!$D$43,(Inputs!$B$47-Inputs!$D$43)*'Cost Data'!$C$34,0)</f>
        <v>0</v>
      </c>
      <c r="F32" s="9"/>
      <c r="G32" s="9"/>
    </row>
    <row r="33" spans="1:7" ht="12.75">
      <c r="A33" s="36" t="s">
        <v>58</v>
      </c>
      <c r="B33" s="53">
        <f>IF($B$35="N/A",Inputs!$B$72*'Cost Data'!$C$35,IF(Inputs!$B$72&gt;Inputs!$B$63,(Inputs!$B$72-Inputs!$B$63)*'Cost Data'!$C$35,0))</f>
        <v>23.84</v>
      </c>
      <c r="C33" s="53">
        <f>IF($B$35="N/A",Inputs!$B$73*'Cost Data'!$C$35,IF(Inputs!$B$73&gt;Inputs!$B$64,(Inputs!$B$73-Inputs!$B$64)*'Cost Data'!$C$35,0))</f>
        <v>71.52</v>
      </c>
      <c r="D33" s="53">
        <f>IF($B$35="N/A",Inputs!$B$74*'Cost Data'!$C$35,IF(Inputs!$B$74&gt;Inputs!$B$65,(Inputs!$B$74-Inputs!$B$65)*'Cost Data'!$C$35,0))</f>
        <v>143.04</v>
      </c>
      <c r="E33" s="54">
        <f>IF($B$35="N/A",Inputs!$B$75*'Cost Data'!$C$35,IF(Inputs!$B$75&gt;Inputs!$B$66,(Inputs!$B$75-Inputs!$B$66)*'Cost Data'!$C$35,0))</f>
        <v>238.4</v>
      </c>
      <c r="F33" s="9"/>
      <c r="G33" s="9"/>
    </row>
    <row r="34" spans="1:7" ht="12.75">
      <c r="A34" s="36" t="s">
        <v>54</v>
      </c>
      <c r="B34" s="53"/>
      <c r="C34" s="53"/>
      <c r="D34" s="53"/>
      <c r="E34" s="54"/>
      <c r="F34" s="70"/>
      <c r="G34" s="9"/>
    </row>
    <row r="35" spans="1:7" ht="12.75">
      <c r="A35" s="36" t="s">
        <v>55</v>
      </c>
      <c r="B35" s="37" t="str">
        <f>IF(Lookup!$F$4="Yes",0,IF(MIN(Inputs!$B$66,Inputs!$B$75)+MIN(Inputs!$B$71,Inputs!$B$75)&lt;10000,"N/A",'Cost Data'!$C$13))</f>
        <v>N/A</v>
      </c>
      <c r="C35" s="37" t="str">
        <f>IF(Lookup!$F$4="Yes",0,IF(MIN(Inputs!$B$66,Inputs!$B$75)+MIN(Inputs!$B$71,Inputs!$B$75)&lt;10000,"N/A",'Cost Data'!$C$13))</f>
        <v>N/A</v>
      </c>
      <c r="D35" s="37" t="str">
        <f>IF(Lookup!$F$4="Yes",0,IF(MIN(Inputs!$B$66,Inputs!$B$75)+MIN(Inputs!$B$71,Inputs!$B$75)&lt;10000,"N/A",'Cost Data'!$C$13))</f>
        <v>N/A</v>
      </c>
      <c r="E35" s="38" t="str">
        <f>IF(Lookup!$F$4="Yes",0,IF(MIN(Inputs!$B$66,Inputs!$B$75)+MIN(Inputs!$B$71,Inputs!$B$75)&lt;10000,"N/A",'Cost Data'!$C$13))</f>
        <v>N/A</v>
      </c>
      <c r="F35" s="9"/>
      <c r="G35" s="9"/>
    </row>
    <row r="36" spans="1:7" ht="12.75">
      <c r="A36" s="36" t="s">
        <v>56</v>
      </c>
      <c r="B36" s="37" t="str">
        <f>IF(B35="N/A","N/A",'Cost Data'!$C$14*(MIN(Inputs!$B$63,Inputs!$B$72)+MIN(Inputs!$B$68,Inputs!$B$72)))</f>
        <v>N/A</v>
      </c>
      <c r="C36" s="37" t="str">
        <f>IF(C35="N/A","N/A",'Cost Data'!$C$14*(MIN(Inputs!$B$64,Inputs!$B$73)+MIN(Inputs!$B$69,Inputs!$B$73)))</f>
        <v>N/A</v>
      </c>
      <c r="D36" s="37" t="str">
        <f>IF(D35="N/A","N/A",'Cost Data'!$C$14*(MIN(Inputs!$B$65,Inputs!$B$74)+MIN(Inputs!$B$70,Inputs!$B$74)))</f>
        <v>N/A</v>
      </c>
      <c r="E36" s="38" t="str">
        <f>IF(E35="N/A","N/A",'Cost Data'!$C$14*(MIN(Inputs!$B$66,Inputs!$B$75)+MIN(Inputs!$B$71,Inputs!$B$75)))</f>
        <v>N/A</v>
      </c>
      <c r="F36" s="9"/>
      <c r="G36" s="9"/>
    </row>
    <row r="37" spans="1:7" ht="12.75">
      <c r="A37" s="36" t="s">
        <v>57</v>
      </c>
      <c r="B37" s="37" t="str">
        <f>IF(B35="N/A","N/A",'Cost Data'!$C$15*(MIN(Inputs!$B$63,Inputs!$B$72)+MIN(Inputs!$B$68,Inputs!$B$72)))</f>
        <v>N/A</v>
      </c>
      <c r="C37" s="37" t="str">
        <f>IF(C35="N/A","N/A",'Cost Data'!$C$15*(MIN(Inputs!$B$64,Inputs!$B$73)+MIN(Inputs!$B$69,Inputs!$B$73)))</f>
        <v>N/A</v>
      </c>
      <c r="D37" s="37" t="str">
        <f>IF(D35="N/A","N/A",'Cost Data'!$C$15*(MIN(Inputs!$B$65,Inputs!$B$74)+MIN(Inputs!$B$70,Inputs!$B$74)))</f>
        <v>N/A</v>
      </c>
      <c r="E37" s="38" t="str">
        <f>IF(E35="N/A","N/A",'Cost Data'!$C$15*(MIN(Inputs!$B$66,Inputs!$B$75)+MIN(Inputs!$B$71,Inputs!$B$75)))</f>
        <v>N/A</v>
      </c>
      <c r="F37" s="9"/>
      <c r="G37" s="9"/>
    </row>
    <row r="38" spans="1:7" ht="12.75">
      <c r="A38" s="49" t="s">
        <v>130</v>
      </c>
      <c r="B38" s="37">
        <f>IF(Lookup!$H$4="Yes",0,IF('Cost Data'!$C$21&gt;'Cost Data'!$C$22*MIN(Inputs!$B$10*10,((Inputs!$B$7*10*Inputs!$B$8)+(IF(Inputs!$B$21*Inputs!$B$22&lt;Inputs!$B$26,MAX(Inputs!$B$21-Inputs!$B$26,0),Inputs!$B$21-(Inputs!$B$21*Inputs!$B$22)))*'Cost Data'!$D$43)),"N/A",'Cost Data'!$C$21))</f>
        <v>0</v>
      </c>
      <c r="C38" s="37">
        <f>IF(Lookup!$H$4="Yes",0,IF('Cost Data'!$C$21&gt;'Cost Data'!$C$22*MIN(Inputs!$B$10*10,((Inputs!$B$7*10*Inputs!$B$8)+(IF(Inputs!$B$21*Inputs!$B$22&lt;Inputs!$B$26,MAX(Inputs!$B$21-Inputs!$B$26,0),Inputs!$B$21-(Inputs!$B$21*Inputs!$B$22)))*'Cost Data'!$D$43)),"N/A",'Cost Data'!$C$21))</f>
        <v>0</v>
      </c>
      <c r="D38" s="37">
        <f>IF(Lookup!$H$4="Yes",0,IF('Cost Data'!$C$21&gt;'Cost Data'!$C$22*MIN(Inputs!$B$10*10,((Inputs!$B$7*10*Inputs!$B$8)+(IF(Inputs!$B$21*Inputs!$B$22&lt;Inputs!$B$26,MAX(Inputs!$B$21-Inputs!$B$26,0),Inputs!$B$21-(Inputs!$B$21*Inputs!$B$22)))*'Cost Data'!$D$43)),"N/A",'Cost Data'!$C$21))</f>
        <v>0</v>
      </c>
      <c r="E38" s="38">
        <f>IF(Lookup!$H$4="Yes",0,IF('Cost Data'!$C$21&gt;'Cost Data'!$C$22*MIN(Inputs!$B$10*10,((Inputs!$B$7*10*Inputs!$B$8)+(IF(Inputs!$B$21*Inputs!$B$22&lt;Inputs!$B$26,MAX(Inputs!$B$21-Inputs!$B$26,0),Inputs!$B$21-(Inputs!$B$21*Inputs!$B$22)))*'Cost Data'!$D$43)),"N/A",'Cost Data'!$C$21))</f>
        <v>0</v>
      </c>
      <c r="F38" s="9"/>
      <c r="G38" s="9"/>
    </row>
    <row r="39" spans="1:7" ht="12.75">
      <c r="A39" s="36" t="s">
        <v>131</v>
      </c>
      <c r="B39" s="37">
        <f>IF(B38="N/A","N/A",MIN(Inputs!$B$10*'Cost Data'!$C$20*'Cost Data'!$C$19,((Inputs!$B$7*Inputs!$B$8)+(IF(Inputs!$D$18*Inputs!$B$22&lt;Inputs!$B$23,MAX(Inputs!$D$18-Inputs!$B$23,0),Inputs!$D$18-(Inputs!$D$18*Inputs!$B$22)))*'Cost Data'!$D$43)*'Cost Data'!$C$20*'Cost Data'!$C$19))</f>
        <v>29.54645161290323</v>
      </c>
      <c r="C39" s="37">
        <f>IF(B38="N/A","N/A",MIN(Inputs!$B$10*3*'Cost Data'!$C$20*'Cost Data'!$C$19,((Inputs!$B$7*3*Inputs!$B$8)+(IF(Inputs!$D$19*Inputs!$B$22&lt;Inputs!$B$24,MAX(Inputs!$D$19-Inputs!$B$24,0),Inputs!$D$19-(Inputs!$D$19*Inputs!$B$22)))*'Cost Data'!$D$43)*'Cost Data'!$C$20*'Cost Data'!$C$19))</f>
        <v>88.63935483870968</v>
      </c>
      <c r="D39" s="37">
        <f>IF(B38="N/A","N/A",MIN(Inputs!$B$10*6*'Cost Data'!$C$20*'Cost Data'!$C$19,((Inputs!$B$7*6*Inputs!$B$8)+(IF(Inputs!$D$20*Inputs!$B$22&lt;Inputs!$B$25,MAX(Inputs!$D$20-Inputs!$B$25,0),Inputs!$D$20-(Inputs!$D$20*Inputs!$B$22)))*'Cost Data'!$D73)*'Cost Data'!$C$20*'Cost Data'!$C$19))</f>
        <v>177.27870967741936</v>
      </c>
      <c r="E39" s="38">
        <f>IF(B38="N/A","N/A",MIN(Inputs!$B$10*10*'Cost Data'!$C$20*'Cost Data'!$C$19,((Inputs!$B$7*10*Inputs!$B$8)+(IF(Inputs!$D$21*Inputs!$B$22&lt;Inputs!$B$26,MAX(Inputs!$D$21-Inputs!$B$26,0),Inputs!$D$21-(Inputs!$D$21*Inputs!$B$22)))*'Cost Data'!$D$43)*'Cost Data'!$C$20*'Cost Data'!$C$19))</f>
        <v>295.4645161290323</v>
      </c>
      <c r="F39" s="9"/>
      <c r="G39" s="9"/>
    </row>
    <row r="40" spans="1:7" ht="12.75">
      <c r="A40" s="36" t="s">
        <v>127</v>
      </c>
      <c r="B40" s="37">
        <f>IF(B38="N/A","N/A",MIN(Inputs!$B$10*'Cost Data'!$C$18*'Cost Data'!$C$19,((Inputs!$B$7*Inputs!$B$8)+(IF(Inputs!$D$18*Inputs!$B$22&lt;Inputs!$B$23,MAX(Inputs!$D$18-Inputs!$B$23,0),Inputs!$D$18-(Inputs!$D$18*Inputs!$B$22)))*'Cost Data'!$D$43)*'Cost Data'!$C$18*'Cost Data'!$C$19))</f>
        <v>13.978494623655914</v>
      </c>
      <c r="C40" s="37">
        <f>IF(B38="N/A","N/A",MIN(Inputs!$B$10*3*'Cost Data'!$C$18*'Cost Data'!$C$19,((Inputs!$B$7*3*Inputs!$B$8)+(IF(Inputs!$D$19*Inputs!$B$22&lt;Inputs!$B$24,MAX(Inputs!$B$19-Inputs!$B$24,0),Inputs!$B$19-(Inputs!$B$19*Inputs!$B$22)))*'Cost Data'!$D$43)*'Cost Data'!$C$18*'Cost Data'!$C$19))</f>
        <v>41.935483870967744</v>
      </c>
      <c r="D40" s="37">
        <f>IF(B38="N/A","N/A",MIN(Inputs!$B$10*6*'Cost Data'!$C$18*'Cost Data'!$C$19,((Inputs!$B$7*6*Inputs!$B$8)+(IF(Inputs!$D$20*Inputs!$B$22&lt;Inputs!$B$25,MAX(Inputs!$D$20-Inputs!$B$25,0),Inputs!$D$20-(Inputs!$D$20*Inputs!$B$22)))*'Cost Data'!$D74)*'Cost Data'!$C$18*'Cost Data'!$C$19))</f>
        <v>83.87096774193549</v>
      </c>
      <c r="E40" s="38">
        <f>IF(E38="N/A","N/A",MIN(Inputs!$B$10*10*'Cost Data'!$C$18*'Cost Data'!$C$19,((Inputs!$B$7*10*Inputs!$B$8)+(IF(Inputs!$D$21*Inputs!$B$22&lt;Inputs!$B$26,MAX(Inputs!$D$21-Inputs!$B$26,0),Inputs!$D$21-(Inputs!$D$21*Inputs!$B$22)))*'Cost Data'!$D$43)*'Cost Data'!$C$18*'Cost Data'!$C$19))</f>
        <v>139.78494623655914</v>
      </c>
      <c r="F40" s="9"/>
      <c r="G40" s="9"/>
    </row>
    <row r="41" spans="1:7" ht="12.75">
      <c r="A41" s="36" t="s">
        <v>15</v>
      </c>
      <c r="B41" s="37"/>
      <c r="C41" s="37"/>
      <c r="D41" s="37"/>
      <c r="E41" s="38"/>
      <c r="F41" s="9"/>
      <c r="G41" s="9"/>
    </row>
    <row r="42" spans="1:7" ht="12.75">
      <c r="A42" s="49" t="s">
        <v>105</v>
      </c>
      <c r="B42" s="53">
        <f>IF(B38="N/A",((Inputs!$B$7*Inputs!$B$8)+MAX(0,(((Inputs!$B$7*(1-Inputs!$B$8))*'Cost Data'!$D$52)-Inputs!$B$9)/'Cost Data'!$D$52))*'Cost Data'!$D$51*VLOOKUP(Lookup!$I$9,'Cost Data'!$A$4:$C$10,3),(MAX(0,((Inputs!$B$7*Inputs!$B$8)-Inputs!$B$10))+MAX(0,(((Inputs!$B$7*(1-Inputs!$B$8))*'Cost Data'!$D$52)-Inputs!$B$9)/'Cost Data'!$D$52))*'Cost Data'!$D$51*VLOOKUP(Lookup!$I$9,'Cost Data'!$A$4:$C$10,3))</f>
        <v>123.52666666666667</v>
      </c>
      <c r="C42" s="53">
        <f>IF(C38="N/A",((Inputs!$B$7*Inputs!$B$8)+MAX(0,(((Inputs!$B$7*(1-Inputs!$B$8))*'Cost Data'!$D$52)-Inputs!$B$9)/'Cost Data'!$D$52))*'Cost Data'!$D$51*VLOOKUP(Lookup!$I$9,'Cost Data'!$A$4:$C$10,3),(MAX(0,((Inputs!$B$7*Inputs!$B$8)-Inputs!$B$10))+MAX(0,(((Inputs!$B$7*(1-Inputs!$B$8))*'Cost Data'!$D$52)-Inputs!$B$9)/'Cost Data'!$D$52))*'Cost Data'!$D$51*VLOOKUP(Lookup!$I$9,'Cost Data'!$A$4:$C$10,3))*3</f>
        <v>370.58000000000004</v>
      </c>
      <c r="D42" s="53">
        <f>IF(D38="N/A",((Inputs!$B$7*Inputs!$B$8)+MAX(0,(((Inputs!$B$7*(1-Inputs!$B$8))*'Cost Data'!$D$52)-Inputs!$B$9)/'Cost Data'!$D$52))*'Cost Data'!$D$51*VLOOKUP(Lookup!$I$9,'Cost Data'!$A$4:$C$10,3),(MAX(0,((Inputs!$B$7*Inputs!$B$8)-Inputs!$B$10))+MAX(0,(((Inputs!$B$7*(1-Inputs!$B$8))*'Cost Data'!$D$52)-Inputs!$B$9)/'Cost Data'!$D$52))*'Cost Data'!$D$51*VLOOKUP(Lookup!$I$9,'Cost Data'!$A$4:$C$10,3))*6</f>
        <v>741.1600000000001</v>
      </c>
      <c r="E42" s="54">
        <f>IF(E38="N/A",((Inputs!$B$7*Inputs!$B$8)+MAX(0,(((Inputs!$B$7*(1-Inputs!$B$8))*'Cost Data'!$D$52)-Inputs!$B$9)/'Cost Data'!$D$52))*'Cost Data'!$D$51*VLOOKUP(Lookup!$I$9,'Cost Data'!$A$4:$C$10,3),(MAX(0,((Inputs!$B$7*Inputs!$B$8)-Inputs!$B$10))+MAX(0,(((Inputs!$B$7*(1-Inputs!$B$8))*'Cost Data'!$D$52)-Inputs!$B$9)/'Cost Data'!$D$52))*'Cost Data'!$D$51*VLOOKUP(Lookup!$I$9,'Cost Data'!$A$4:$C$10,3))*10</f>
        <v>1235.2666666666667</v>
      </c>
      <c r="F42" s="9"/>
      <c r="G42" s="9"/>
    </row>
    <row r="43" spans="1:7" ht="12.75">
      <c r="A43" s="36" t="s">
        <v>37</v>
      </c>
      <c r="B43" s="37">
        <f>IF(B38="N/A",MAX(0,Inputs!$B$18-Inputs!$B$23),MAX(0,(Inputs!$B$18-MIN(Inputs!$B$18,Inputs!$B$23)-IF(Inputs!$B$23&gt;Inputs!$B$18,0,IF(Inputs!$B$7*Inputs!$B$8&gt;Inputs!$B$10,0,IF(Inputs!$B$18*Inputs!$B$22&gt;Inputs!$B$23,(MIN((Inputs!$B$18*(1-Inputs!$B$22))*'Cost Data'!$D$43,(Inputs!$B$10-(Inputs!$B$7*Inputs!$B$9))))/'Cost Data'!$D$43,(MIN(((Inputs!$B$18-Inputs!$B$23)*'Cost Data'!$D$43),Inputs!$B$10-(Inputs!$B$7*Inputs!$B$8)))/'Cost Data'!$D$43))))))*'Cost Data'!$D$42*VLOOKUP(Lookup!$I$9,'Cost Data'!$A$4:$C$10,3)</f>
        <v>19.8525</v>
      </c>
      <c r="C43" s="37">
        <f>IF(C38="N/A",MAX(0,Inputs!$B$19-Inputs!$B$24),MAX(0,(Inputs!$B$19-MIN(Inputs!$B$19,Inputs!$B$24)-IF(Inputs!$B$24&gt;Inputs!$B$19,0,IF(Inputs!$B$7*Inputs!$B$8&gt;Inputs!$B$10,0,IF(Inputs!$B$19*Inputs!$B$22&gt;Inputs!$B$24,(MIN((Inputs!$B$19*(1-Inputs!$B$22))*'Cost Data'!$D$43,(Inputs!$B$10-(Inputs!$B$7*Inputs!$B$9))))/'Cost Data'!$D$43,(MIN(((Inputs!$B$19-Inputs!$B$24)*'Cost Data'!$D$43),Inputs!$B$10-(Inputs!$B$7*Inputs!$B$8)))/'Cost Data'!$D$43))))))*'Cost Data'!$D$42*VLOOKUP(Lookup!$I$9,'Cost Data'!$A$4:$C$10,3)</f>
        <v>59.5575</v>
      </c>
      <c r="D43" s="37">
        <f>IF(D38="N/A",MAX(0,Inputs!$B$20-Inputs!$B$25),MAX(0,(Inputs!$B$20-MIN(Inputs!$B$20,Inputs!$B$25)-IF(Inputs!$B$25&gt;Inputs!$B$20,0,IF(Inputs!$B$7*Inputs!$B$8&gt;Inputs!$B$10,0,IF(Inputs!$B$20*Inputs!$B$22&gt;Inputs!$B$25,(MIN((Inputs!$B$20*(1-Inputs!$B$22))*'Cost Data'!$D$43,(Inputs!$B$10-(Inputs!$B$7*Inputs!$B$9))))/'Cost Data'!$D$43,(MIN(((Inputs!$B$20-Inputs!$B$25)*'Cost Data'!$D$43),Inputs!$B$10-(Inputs!$B$7*Inputs!$B$8)))/'Cost Data'!$D$43))))))*'Cost Data'!$D$42*VLOOKUP(Lookup!$I$9,'Cost Data'!$A$4:$C$10,3)</f>
        <v>119.115</v>
      </c>
      <c r="E43" s="38">
        <f>IF(E38="N/A",MAX(0,Inputs!$B$21-Inputs!$B$26),MAX(0,(Inputs!$B$21-MIN(Inputs!$B$21,Inputs!$B$26)-IF(Inputs!$B$26&gt;Inputs!$B$21,0,IF(Inputs!$B$7*Inputs!$B$8&gt;Inputs!$B$10,0,IF(Inputs!$B$21*Inputs!$B$22&gt;Inputs!$B$26,(MIN((Inputs!$B$21*(1-Inputs!$B$22))*'Cost Data'!$D$43,(Inputs!$B$10-(Inputs!$B$7*Inputs!$B$9))))/'Cost Data'!$D$43,(MIN(((Inputs!$B$21-Inputs!$B$26)*'Cost Data'!$D$43),Inputs!$B$10-(Inputs!$B$7*Inputs!$B$8)))/'Cost Data'!$D$43))))))*'Cost Data'!$D$42*VLOOKUP(Lookup!$I$9,'Cost Data'!$A$4:$C$10,3)</f>
        <v>198.52499999999998</v>
      </c>
      <c r="F43" s="9"/>
      <c r="G43" s="9"/>
    </row>
    <row r="44" spans="1:7" ht="12.75">
      <c r="A44" s="36" t="s">
        <v>14</v>
      </c>
      <c r="B44" s="37">
        <f>IF(Inputs!$D$40&gt;Inputs!$B$44,(Inputs!$D$40-Inputs!$B$44)*'Cost Data'!$D$38*VLOOKUP(Lookup!$I$9,'Cost Data'!$A$4:$C$10,3),0)+Inputs!$B$40*Inputs!$C$40*'Cost Data'!$D$38*VLOOKUP(Lookup!$I$9,'Cost Data'!$A$4:$C$10,3)</f>
        <v>29.778749999999995</v>
      </c>
      <c r="C44" s="37">
        <f>IF(Inputs!$D$41&gt;Inputs!$B$45,(Inputs!$D$41-Inputs!$B$45)*'Cost Data'!$D$38*VLOOKUP(Lookup!$I$9,'Cost Data'!$A$4:$C$10,3),0)+Inputs!$B$41*Inputs!$C$40*'Cost Data'!$D$38*VLOOKUP(Lookup!$I$9,'Cost Data'!$A$4:$C$10,3)</f>
        <v>89.33624999999999</v>
      </c>
      <c r="D44" s="37">
        <f>IF(Inputs!$D$42&gt;Inputs!$B$46,(Inputs!$D$42-Inputs!$B$46)*'Cost Data'!$D$38*VLOOKUP(Lookup!$I$9,'Cost Data'!$A$4:$C$10,3),0)+Inputs!$B$42*Inputs!$C$40*'Cost Data'!$D$38*VLOOKUP(Lookup!$I$9,'Cost Data'!$A$4:$C$10,3)</f>
        <v>178.67249999999999</v>
      </c>
      <c r="E44" s="37">
        <f>IF(Inputs!$D$43&gt;Inputs!$B$47,(Inputs!$D$43-Inputs!$B$47)*'Cost Data'!$D$38*VLOOKUP(Lookup!$I$9,'Cost Data'!$A$4:$C$10,3),0)+Inputs!$B$43*Inputs!$C$40*'Cost Data'!$D$38*VLOOKUP(Lookup!$I$9,'Cost Data'!$A$4:$C$10,3)</f>
        <v>297.78749999999997</v>
      </c>
      <c r="F44" s="9"/>
      <c r="G44" s="9"/>
    </row>
    <row r="45" spans="1:7" ht="12.75">
      <c r="A45" s="36" t="s">
        <v>13</v>
      </c>
      <c r="B45" s="37">
        <f>IF($B$35="N/A",Inputs!$B$68*VLOOKUP(Lookup!$I$9,'Cost Data'!$A$4:$C$10,3),IF(Inputs!$B$68&gt;Inputs!$B$72,(Inputs!$B$68-Inputs!$B$72)*VLOOKUP(Lookup!$I$9,'Cost Data'!$A$4:$C$10,3),0))</f>
        <v>26.47</v>
      </c>
      <c r="C45" s="37">
        <f>IF($B$35="N/A",Inputs!$B$69*VLOOKUP(Lookup!$I$9,'Cost Data'!$A$4:$C$10,3),IF(Inputs!$B$69&gt;Inputs!$B$73,(Inputs!$B$69-Inputs!$B$73)*VLOOKUP(Lookup!$I$9,'Cost Data'!$A$4:$C$10,3),0))</f>
        <v>79.41</v>
      </c>
      <c r="D45" s="37">
        <f>IF($B$35="N/A",Inputs!$B$70*VLOOKUP(Lookup!$I$9,'Cost Data'!$A$4:$C$10,3),IF(Inputs!$B$70&gt;Inputs!$B$74,(Inputs!$B$70-Inputs!$B$74)*VLOOKUP(Lookup!$I$9,'Cost Data'!$A$4:$C$10,3),0))</f>
        <v>158.82</v>
      </c>
      <c r="E45" s="38">
        <f>IF($B$35="N/A",Inputs!$B$71*VLOOKUP(Lookup!$I$9,'Cost Data'!$A$4:$C$10,3),IF(Inputs!$B$71&gt;Inputs!$B$75,(Inputs!$B$71-Inputs!$B$75)*VLOOKUP(Lookup!$I$9,'Cost Data'!$A$4:$C$10,3),0))</f>
        <v>264.7</v>
      </c>
      <c r="F45" s="9"/>
      <c r="G45" s="9"/>
    </row>
    <row r="46" spans="1:7" ht="12.75">
      <c r="A46" s="36" t="s">
        <v>12</v>
      </c>
      <c r="B46" s="37">
        <f>IF($B$35="N/A",Inputs!$B$63*VLOOKUP(Lookup!$I$9,'Cost Data'!$A$4:$C$10,3),IF(Inputs!$B$63&gt;Inputs!$B$72,(Inputs!$B$63-Inputs!$B$72)*VLOOKUP(Lookup!$I$9,'Cost Data'!$A$4:$C$10,3),0))</f>
        <v>26.47</v>
      </c>
      <c r="C46" s="37">
        <f>IF($B$35="N/A",Inputs!$B$64*VLOOKUP(Lookup!$I$9,'Cost Data'!$A$4:$C$10,3),IF(Inputs!$B$64&gt;Inputs!$B$73,(Inputs!$B$64-Inputs!$B$73)*VLOOKUP(Lookup!$I$9,'Cost Data'!$A$4:$C$10,3),0))</f>
        <v>79.41</v>
      </c>
      <c r="D46" s="37">
        <f>IF($B$35="N/A",Inputs!$B$65*VLOOKUP(Lookup!$I$9,'Cost Data'!$A$4:$C$10,3),IF(Inputs!$B$65&gt;Inputs!$B$74,(Inputs!$B$65-Inputs!$B$74)*VLOOKUP(Lookup!$I$9,'Cost Data'!$A$4:$C$10,3),0))</f>
        <v>158.82</v>
      </c>
      <c r="E46" s="38">
        <f>IF($B$35="N/A",Inputs!$B$66*VLOOKUP(Lookup!$I$9,'Cost Data'!$A$4:$C$10,3),IF(Inputs!$B$66&gt;Inputs!$B$75,(Inputs!$B$66-Inputs!$B$75)*VLOOKUP(Lookup!$I$9,'Cost Data'!$A$4:$C$10,3),0))</f>
        <v>264.7</v>
      </c>
      <c r="F46" s="9"/>
      <c r="G46" s="9"/>
    </row>
    <row r="47" spans="1:7" ht="12.75">
      <c r="A47" s="39" t="s">
        <v>25</v>
      </c>
      <c r="B47" s="40">
        <f>SUM(B29:B46)</f>
        <v>293.46286290322587</v>
      </c>
      <c r="C47" s="40">
        <f>SUM(C29:C46)</f>
        <v>880.3885887096774</v>
      </c>
      <c r="D47" s="40">
        <f>SUM(D29:D46)</f>
        <v>1760.7771774193548</v>
      </c>
      <c r="E47" s="97">
        <f>SUM(E29:E46)</f>
        <v>2934.628629032258</v>
      </c>
      <c r="F47" s="76">
        <f>E47/10</f>
        <v>293.46286290322575</v>
      </c>
      <c r="G47" s="9"/>
    </row>
    <row r="48" spans="1:7" s="14" customFormat="1" ht="12.75">
      <c r="A48" s="39" t="s">
        <v>96</v>
      </c>
      <c r="B48" s="40">
        <f>B47/1</f>
        <v>293.46286290322587</v>
      </c>
      <c r="C48" s="40">
        <f>C47/3</f>
        <v>293.4628629032258</v>
      </c>
      <c r="D48" s="40">
        <f>D47/6</f>
        <v>293.4628629032258</v>
      </c>
      <c r="E48" s="97">
        <f>E47/10</f>
        <v>293.46286290322575</v>
      </c>
      <c r="F48" s="75"/>
      <c r="G48" s="13"/>
    </row>
    <row r="49" spans="1:7" ht="12.75">
      <c r="A49" s="2"/>
      <c r="B49" s="9"/>
      <c r="C49" s="9"/>
      <c r="D49" s="9"/>
      <c r="E49" s="9"/>
      <c r="F49" s="9"/>
      <c r="G49" s="9"/>
    </row>
    <row r="50" spans="1:7" ht="25.5" customHeight="1">
      <c r="A50" s="62" t="s">
        <v>280</v>
      </c>
      <c r="B50" s="42" t="s">
        <v>21</v>
      </c>
      <c r="C50" s="42" t="s">
        <v>18</v>
      </c>
      <c r="D50" s="42" t="s">
        <v>19</v>
      </c>
      <c r="E50" s="42" t="s">
        <v>20</v>
      </c>
      <c r="F50" s="9"/>
      <c r="G50" s="9"/>
    </row>
    <row r="51" spans="1:7" ht="12.75">
      <c r="A51" s="36" t="s">
        <v>16</v>
      </c>
      <c r="B51" s="37"/>
      <c r="C51" s="59"/>
      <c r="D51" s="59"/>
      <c r="E51" s="60"/>
      <c r="F51" s="71"/>
      <c r="G51" s="9"/>
    </row>
    <row r="52" spans="1:7" ht="12.75">
      <c r="A52" s="36" t="s">
        <v>17</v>
      </c>
      <c r="B52" s="91">
        <f>Inputs!$B$9*'Cost Data'!$C$31</f>
        <v>171</v>
      </c>
      <c r="C52" s="91">
        <f>Inputs!$B$9*'Cost Data'!$C$31*3</f>
        <v>513</v>
      </c>
      <c r="D52" s="91">
        <f>Inputs!$B$9*'Cost Data'!$C$31*6</f>
        <v>1026</v>
      </c>
      <c r="E52" s="92">
        <f>Inputs!$B$9*'Cost Data'!$C$31*10</f>
        <v>1710</v>
      </c>
      <c r="F52" s="9"/>
      <c r="G52" s="9"/>
    </row>
    <row r="53" spans="1:7" ht="12.75">
      <c r="A53" s="36" t="s">
        <v>107</v>
      </c>
      <c r="B53" s="91">
        <f>Inputs!$B$10*'Cost Data'!$C$32</f>
        <v>71.3</v>
      </c>
      <c r="C53" s="91">
        <f>Inputs!$B$10*'Cost Data'!$C$32*3</f>
        <v>213.89999999999998</v>
      </c>
      <c r="D53" s="91">
        <f>Inputs!$B$10*'Cost Data'!$C$32*6</f>
        <v>427.79999999999995</v>
      </c>
      <c r="E53" s="92">
        <f>Inputs!$B$10*'Cost Data'!$C$32*10</f>
        <v>713</v>
      </c>
      <c r="F53" s="9"/>
      <c r="G53" s="9"/>
    </row>
    <row r="54" spans="1:7" ht="12.75">
      <c r="A54" s="36" t="s">
        <v>37</v>
      </c>
      <c r="B54" s="91">
        <f>Inputs!$B$23*'Cost Data'!$C$33</f>
        <v>195</v>
      </c>
      <c r="C54" s="91">
        <f>Inputs!$B$24*'Cost Data'!$C$33</f>
        <v>585</v>
      </c>
      <c r="D54" s="91">
        <f>Inputs!$B$25*'Cost Data'!$C$33</f>
        <v>1170</v>
      </c>
      <c r="E54" s="92">
        <f>Inputs!$B$26*'Cost Data'!$C$33</f>
        <v>1950</v>
      </c>
      <c r="F54" s="9"/>
      <c r="G54" s="9"/>
    </row>
    <row r="55" spans="1:7" ht="12.75">
      <c r="A55" s="36" t="s">
        <v>14</v>
      </c>
      <c r="B55" s="91">
        <f>IF(Lookup!$G$4="Yes",Inputs!$B$52*Inputs!$B$44,Inputs!$B$44*'Cost Data'!$C$34)</f>
        <v>100</v>
      </c>
      <c r="C55" s="91">
        <f>IF(Lookup!$G$4="Yes",Inputs!$B$52*Inputs!$B$45,Inputs!$B$45*'Cost Data'!$C$34)</f>
        <v>300</v>
      </c>
      <c r="D55" s="91">
        <f>IF(Lookup!$G$4="Yes",Inputs!$B$52*Inputs!$B$46,Inputs!$B$46*'Cost Data'!$C$34)</f>
        <v>600</v>
      </c>
      <c r="E55" s="92">
        <f>IF(Lookup!$G$4="Yes",Inputs!$B$52*Inputs!$B$47,Inputs!$B$47*'Cost Data'!$C$34)</f>
        <v>1000</v>
      </c>
      <c r="F55" s="9"/>
      <c r="G55" s="9"/>
    </row>
    <row r="56" spans="1:7" ht="12.75">
      <c r="A56" s="36" t="s">
        <v>58</v>
      </c>
      <c r="B56" s="91">
        <f>Inputs!$B$72*'Cost Data'!$C$35</f>
        <v>23.84</v>
      </c>
      <c r="C56" s="91">
        <f>Inputs!$B$73*'Cost Data'!$C$35</f>
        <v>71.52</v>
      </c>
      <c r="D56" s="91">
        <f>Inputs!$B$74*'Cost Data'!$C$35</f>
        <v>143.04</v>
      </c>
      <c r="E56" s="92">
        <f>Inputs!$B$75*'Cost Data'!$C$35</f>
        <v>238.4</v>
      </c>
      <c r="F56" s="9"/>
      <c r="G56" s="9"/>
    </row>
    <row r="57" spans="1:7" ht="12.75">
      <c r="A57" s="49" t="s">
        <v>73</v>
      </c>
      <c r="B57" s="95"/>
      <c r="C57" s="95"/>
      <c r="D57" s="95"/>
      <c r="E57" s="96"/>
      <c r="F57" s="70"/>
      <c r="G57" s="9"/>
    </row>
    <row r="58" spans="1:7" ht="12.75">
      <c r="A58" s="49" t="s">
        <v>104</v>
      </c>
      <c r="B58" s="95">
        <f>IF(Lookup!$E4="Yes",Inputs!$B$7*Inputs!$B$13*'Cost Data'!$D$51,Inputs!$B7*'Cost Data'!$D$51*VLOOKUP(Lookup!$I$9,'Cost Data'!$A$4:$C$10,3))</f>
        <v>180</v>
      </c>
      <c r="C58" s="95">
        <f>IF(Lookup!$E4="Yes",Inputs!$B$7*3*Inputs!$B$13*'Cost Data'!$D$51,Inputs!$B7*3*'Cost Data'!$D$51*VLOOKUP(Lookup!$I$9,'Cost Data'!$A$4:$C$10,3))</f>
        <v>540</v>
      </c>
      <c r="D58" s="95">
        <f>IF(Lookup!$E4="Yes",Inputs!$B$7*6*Inputs!$B$13*'Cost Data'!$D$51,Inputs!$B7*6*'Cost Data'!$D$51*VLOOKUP(Lookup!$I$9,'Cost Data'!$A$4:$C$10,3))</f>
        <v>1080</v>
      </c>
      <c r="E58" s="96">
        <f>IF(Lookup!$E4="Yes",Inputs!$B$7*10*Inputs!$B$13*'Cost Data'!$D$51,Inputs!$B7*10*'Cost Data'!$D$51*VLOOKUP(Lookup!$I$9,'Cost Data'!$A$4:$C$10,3))</f>
        <v>1800</v>
      </c>
      <c r="F58" s="9"/>
      <c r="G58" s="9"/>
    </row>
    <row r="59" spans="1:7" ht="12.75">
      <c r="A59" s="36" t="s">
        <v>39</v>
      </c>
      <c r="B59" s="95">
        <f>IF(Lookup!$D4="Yes",Inputs!$B$28*Inputs!$B$18*'Cost Data'!$D42,Inputs!$B$18*VLOOKUP(Lookup!$I$9,'Cost Data'!$A$4:$C$10,3)*'Cost Data'!$D$42)</f>
        <v>22.5</v>
      </c>
      <c r="C59" s="95">
        <f>IF(Lookup!$D4="Yes",Inputs!$B$28*Inputs!$B$19*'Cost Data'!$D42,Inputs!$B$19*VLOOKUP(Lookup!$I$9,'Cost Data'!$A$4:$C$10,3)*'Cost Data'!$D$42)</f>
        <v>67.5</v>
      </c>
      <c r="D59" s="95">
        <f>IF(Lookup!$D4="Yes",Inputs!$B$28*Inputs!$B$20*'Cost Data'!$D42,Inputs!$B$20*VLOOKUP(Lookup!$I$9,'Cost Data'!$A$4:$C$10,3)*'Cost Data'!$D$42)</f>
        <v>135</v>
      </c>
      <c r="E59" s="96">
        <f>IF(Lookup!$D4="Yes",Inputs!$B$28*Inputs!$B$21*'Cost Data'!$D42,Inputs!$B$21*VLOOKUP(Lookup!$I$9,'Cost Data'!$A$4:$C$10,3)*'Cost Data'!$D$42)</f>
        <v>225</v>
      </c>
      <c r="F59" s="9"/>
      <c r="G59" s="9"/>
    </row>
    <row r="60" spans="1:7" ht="12.75">
      <c r="A60" s="49" t="s">
        <v>22</v>
      </c>
      <c r="B60" s="95">
        <f>IF(Lookup!C4="Yes",Inputs!$B$49*Inputs!$B$40*'Cost Data'!$D$38,Inputs!$B$40*VLOOKUP(Lookup!$I$9,'Cost Data'!$A$4:$C$10,3)*'Cost Data'!$D$38)</f>
        <v>33.75</v>
      </c>
      <c r="C60" s="95">
        <f>IF(Lookup!C4="Yes",Inputs!$B$49*Inputs!$B$41*'Cost Data'!$D$38,Inputs!$B$41*VLOOKUP(Lookup!$I$9,'Cost Data'!$A$4:$C$10,3)*'Cost Data'!$D$38)</f>
        <v>101.24999999999999</v>
      </c>
      <c r="D60" s="95">
        <f>IF(Lookup!C4="Yes",Inputs!$B$49*Inputs!$B$42*'Cost Data'!$D$38,Inputs!$B$42*VLOOKUP(Lookup!$I$9,'Cost Data'!$A$4:$C$10,3)*'Cost Data'!$D$38)</f>
        <v>202.49999999999997</v>
      </c>
      <c r="E60" s="96">
        <f>IF(Lookup!C4="Yes",Inputs!$B$49*Inputs!$B$43*'Cost Data'!$D$38,Inputs!$B$43*VLOOKUP(Lookup!$I$9,'Cost Data'!$A$4:$C$10,3)*'Cost Data'!$D$38)</f>
        <v>337.5</v>
      </c>
      <c r="F60" s="9"/>
      <c r="G60" s="9"/>
    </row>
    <row r="61" spans="1:7" ht="12.75">
      <c r="A61" s="49" t="s">
        <v>24</v>
      </c>
      <c r="B61" s="95">
        <f>IF(Lookup!B4="Yes",Inputs!$B$68*Inputs!$B$89,Inputs!$B$68*VLOOKUP(Lookup!$I$9,'Cost Data'!$A$4:$C$10,3))</f>
        <v>15</v>
      </c>
      <c r="C61" s="95">
        <f>IF(Lookup!B4="Yes",Inputs!$B$69*Inputs!$B$89,Inputs!$B$69*VLOOKUP(Lookup!$I$9,'Cost Data'!$A$4:$C$10,3))</f>
        <v>45</v>
      </c>
      <c r="D61" s="95">
        <f>IF(Lookup!B4="Yes",Inputs!$B$70*Inputs!$B$89,Inputs!$B$70*VLOOKUP(Lookup!$I$9,'Cost Data'!$A$4:$C$10,3))</f>
        <v>90</v>
      </c>
      <c r="E61" s="96">
        <f>IF(Lookup!B4="Yes",Inputs!$B$71*Inputs!$B$89,Inputs!$B$71*VLOOKUP(Lookup!$I$9,'Cost Data'!$A$4:$C$10,3))</f>
        <v>150</v>
      </c>
      <c r="F61" s="9"/>
      <c r="G61" s="9"/>
    </row>
    <row r="62" spans="1:7" ht="12.75">
      <c r="A62" s="49" t="s">
        <v>23</v>
      </c>
      <c r="B62" s="95">
        <f>IF(Lookup!A4="Yes",Inputs!$B$77*Inputs!$B$63,Inputs!$B$63*VLOOKUP(Lookup!$I$9,'Cost Data'!$A$4:$C$10,3))</f>
        <v>15</v>
      </c>
      <c r="C62" s="95">
        <f>IF(Lookup!A4="Yes",Inputs!$B$77*Inputs!$B$64,Inputs!$B$64*VLOOKUP(Lookup!$I$9,'Cost Data'!$A$4:$C$10,3))</f>
        <v>45</v>
      </c>
      <c r="D62" s="95">
        <f>IF(Lookup!A4="Yes",Inputs!$B$77*Inputs!$B$65,Inputs!$B$65*VLOOKUP(Lookup!$I$9,'Cost Data'!$A$4:$C$10,3))</f>
        <v>90</v>
      </c>
      <c r="E62" s="96">
        <f>IF(Lookup!A4="Yes",Inputs!$B$77*Inputs!$B$66,Inputs!$B$66*VLOOKUP(Lookup!$I$9,'Cost Data'!$A$4:$C$10,3))</f>
        <v>150</v>
      </c>
      <c r="F62" s="9"/>
      <c r="G62" s="9"/>
    </row>
    <row r="63" spans="1:7" ht="12.75">
      <c r="A63" s="39" t="s">
        <v>25</v>
      </c>
      <c r="B63" s="93">
        <f>SUM(B52:B57,B58:B62)</f>
        <v>827.39</v>
      </c>
      <c r="C63" s="93">
        <f>SUM(C52:C57,C58:C62)</f>
        <v>2482.17</v>
      </c>
      <c r="D63" s="93">
        <f>SUM(D52:D57,D58:D62)</f>
        <v>4964.34</v>
      </c>
      <c r="E63" s="94">
        <f>SUM(E52:E57,E58:E62)</f>
        <v>8273.9</v>
      </c>
      <c r="F63" s="76">
        <f>E63/10</f>
        <v>827.39</v>
      </c>
      <c r="G63" s="9"/>
    </row>
    <row r="64" spans="1:7" s="14" customFormat="1" ht="12.75">
      <c r="A64" s="39" t="s">
        <v>96</v>
      </c>
      <c r="B64" s="40">
        <f>B63</f>
        <v>827.39</v>
      </c>
      <c r="C64" s="40">
        <f>C63/3</f>
        <v>827.39</v>
      </c>
      <c r="D64" s="40">
        <f>D63/6</f>
        <v>827.39</v>
      </c>
      <c r="E64" s="97">
        <f>E63/10</f>
        <v>827.39</v>
      </c>
      <c r="F64" s="75"/>
      <c r="G64" s="13"/>
    </row>
    <row r="65" spans="1:7" s="57" customFormat="1" ht="12.75">
      <c r="A65" s="55"/>
      <c r="B65" s="56"/>
      <c r="C65" s="56"/>
      <c r="D65" s="56"/>
      <c r="E65" s="56"/>
      <c r="F65" s="58"/>
      <c r="G65" s="58"/>
    </row>
    <row r="66" spans="1:7" ht="12.75">
      <c r="A66" s="35" t="s">
        <v>76</v>
      </c>
      <c r="B66" s="42" t="s">
        <v>21</v>
      </c>
      <c r="C66" s="42" t="s">
        <v>18</v>
      </c>
      <c r="D66" s="42" t="s">
        <v>19</v>
      </c>
      <c r="E66" s="42" t="s">
        <v>20</v>
      </c>
      <c r="F66" s="9"/>
      <c r="G66" s="9"/>
    </row>
    <row r="67" spans="1:7" ht="12.75">
      <c r="A67" s="36" t="s">
        <v>16</v>
      </c>
      <c r="B67" s="37"/>
      <c r="C67" s="37"/>
      <c r="D67" s="37"/>
      <c r="E67" s="38"/>
      <c r="F67" s="71"/>
      <c r="G67" s="9"/>
    </row>
    <row r="68" spans="1:7" ht="12.75">
      <c r="A68" s="36" t="s">
        <v>17</v>
      </c>
      <c r="B68" s="91">
        <f>Inputs!$B$9*'Cost Data'!$C$31</f>
        <v>171</v>
      </c>
      <c r="C68" s="91">
        <f>Inputs!$B$9*'Cost Data'!$C$31*3</f>
        <v>513</v>
      </c>
      <c r="D68" s="91">
        <f>Inputs!$B$9*'Cost Data'!$C$31*6</f>
        <v>1026</v>
      </c>
      <c r="E68" s="92">
        <f>Inputs!$B$9*'Cost Data'!$C$31*10</f>
        <v>1710</v>
      </c>
      <c r="F68" s="9"/>
      <c r="G68" s="9"/>
    </row>
    <row r="69" spans="1:7" ht="12.75">
      <c r="A69" s="36" t="s">
        <v>107</v>
      </c>
      <c r="B69" s="91">
        <f>Inputs!$B$10*'Cost Data'!$C$32</f>
        <v>71.3</v>
      </c>
      <c r="C69" s="91">
        <f>Inputs!$B$10*'Cost Data'!$C$32*3</f>
        <v>213.89999999999998</v>
      </c>
      <c r="D69" s="91">
        <f>Inputs!$B$10*'Cost Data'!$C$32*6</f>
        <v>427.79999999999995</v>
      </c>
      <c r="E69" s="92">
        <f>Inputs!$B$10*'Cost Data'!$C$32*10</f>
        <v>713</v>
      </c>
      <c r="F69" s="9"/>
      <c r="G69" s="9"/>
    </row>
    <row r="70" spans="1:7" s="14" customFormat="1" ht="12.75">
      <c r="A70" s="36" t="s">
        <v>37</v>
      </c>
      <c r="B70" s="91">
        <f>Inputs!$B$23*'Cost Data'!$C$33</f>
        <v>195</v>
      </c>
      <c r="C70" s="91">
        <f>Inputs!$B$24*'Cost Data'!$C$33</f>
        <v>585</v>
      </c>
      <c r="D70" s="91">
        <f>Inputs!$B$25*'Cost Data'!$C$33</f>
        <v>1170</v>
      </c>
      <c r="E70" s="92">
        <f>Inputs!$B$26*'Cost Data'!$C$33</f>
        <v>1950</v>
      </c>
      <c r="F70" s="13"/>
      <c r="G70" s="13"/>
    </row>
    <row r="71" spans="1:7" ht="12.75">
      <c r="A71" s="36" t="s">
        <v>14</v>
      </c>
      <c r="B71" s="91">
        <f>IF(Lookup!$G$4="Yes",Inputs!$B$52*Inputs!$B$44,Inputs!$B$44*'Cost Data'!$C$34)</f>
        <v>100</v>
      </c>
      <c r="C71" s="91">
        <f>IF(Lookup!$G$4="Yes",Inputs!$B$52*Inputs!$B$45,Inputs!$B$45*'Cost Data'!$C$34)</f>
        <v>300</v>
      </c>
      <c r="D71" s="91">
        <f>IF(Lookup!$G$4="Yes",Inputs!$B$52*Inputs!$B$46,Inputs!$B$46*'Cost Data'!$C$34)</f>
        <v>600</v>
      </c>
      <c r="E71" s="92">
        <f>IF(Lookup!$G$4="Yes",Inputs!$B$52*Inputs!$B$47,Inputs!$B$47*'Cost Data'!$C$34)</f>
        <v>1000</v>
      </c>
      <c r="F71" s="9"/>
      <c r="G71" s="9"/>
    </row>
    <row r="72" spans="1:7" ht="12.75">
      <c r="A72" s="36" t="s">
        <v>58</v>
      </c>
      <c r="B72" s="91">
        <f>Inputs!$B$72*'Cost Data'!$C$35</f>
        <v>23.84</v>
      </c>
      <c r="C72" s="91">
        <f>Inputs!$B$73*'Cost Data'!$C$35</f>
        <v>71.52</v>
      </c>
      <c r="D72" s="91">
        <f>Inputs!$B$74*'Cost Data'!$C$35</f>
        <v>143.04</v>
      </c>
      <c r="E72" s="92">
        <f>Inputs!$B$75*'Cost Data'!$C$35</f>
        <v>238.4</v>
      </c>
      <c r="F72" s="9"/>
      <c r="G72" s="9"/>
    </row>
    <row r="73" spans="1:6" ht="12.75">
      <c r="A73" s="36" t="s">
        <v>15</v>
      </c>
      <c r="B73" s="91"/>
      <c r="C73" s="91"/>
      <c r="D73" s="91"/>
      <c r="E73" s="92"/>
      <c r="F73" s="69"/>
    </row>
    <row r="74" spans="1:5" ht="12.75">
      <c r="A74" s="36" t="s">
        <v>105</v>
      </c>
      <c r="B74" s="91">
        <f>Inputs!$B$7*VLOOKUP(Lookup!$I$9,'Cost Data'!$A$4:$C$10,3)*'Cost Data'!D51</f>
        <v>317.64</v>
      </c>
      <c r="C74" s="91">
        <f>Inputs!$B$7*3*VLOOKUP(Lookup!$I$9,'Cost Data'!$A$4:$C$10,3)*'Cost Data'!D51</f>
        <v>952.92</v>
      </c>
      <c r="D74" s="91">
        <f>Inputs!$B$7*6*VLOOKUP(Lookup!$I$9,'Cost Data'!$A$4:$C$10,3)*'Cost Data'!D51</f>
        <v>1905.84</v>
      </c>
      <c r="E74" s="92">
        <f>Inputs!$B$7*10*VLOOKUP(Lookup!$I$9,'Cost Data'!$A$4:$C$10,3)*'Cost Data'!D51</f>
        <v>3176.4</v>
      </c>
    </row>
    <row r="75" spans="1:5" ht="12.75">
      <c r="A75" s="36" t="s">
        <v>37</v>
      </c>
      <c r="B75" s="91">
        <f>Inputs!$B18*'Cost Data'!$D$42*VLOOKUP(Lookup!$I$9,'Cost Data'!$A$4:$C$10,3)</f>
        <v>39.705</v>
      </c>
      <c r="C75" s="91">
        <f>Inputs!$B19*'Cost Data'!$D$42*VLOOKUP(Lookup!$I$9,'Cost Data'!$A$4:$C$10,3)</f>
        <v>119.115</v>
      </c>
      <c r="D75" s="91">
        <f>Inputs!$B20*'Cost Data'!$D$42*VLOOKUP(Lookup!$I$9,'Cost Data'!$A$4:$C$10,3)</f>
        <v>238.23</v>
      </c>
      <c r="E75" s="92">
        <f>Inputs!$B21*'Cost Data'!$D$42*VLOOKUP(Lookup!$I$9,'Cost Data'!$A$4:$C$10,3)</f>
        <v>397.04999999999995</v>
      </c>
    </row>
    <row r="76" spans="1:5" ht="12.75">
      <c r="A76" s="36" t="s">
        <v>14</v>
      </c>
      <c r="B76" s="91">
        <f>Inputs!$B40*'Cost Data'!$D$38*VLOOKUP(Lookup!$I$9,'Cost Data'!$A$4:$C$10,3)</f>
        <v>59.5575</v>
      </c>
      <c r="C76" s="91">
        <f>Inputs!$B41*'Cost Data'!$D$38*VLOOKUP(Lookup!$I$9,'Cost Data'!$A$4:$C$10,3)</f>
        <v>178.67249999999996</v>
      </c>
      <c r="D76" s="91">
        <f>Inputs!$B42*'Cost Data'!$D$38*VLOOKUP(Lookup!$I$9,'Cost Data'!$A$4:$C$10,3)</f>
        <v>357.3449999999999</v>
      </c>
      <c r="E76" s="92">
        <f>Inputs!$B43*'Cost Data'!$D$38*VLOOKUP(Lookup!$I$9,'Cost Data'!$A$4:$C$10,3)</f>
        <v>595.5749999999999</v>
      </c>
    </row>
    <row r="77" spans="1:5" ht="12.75">
      <c r="A77" s="36" t="s">
        <v>13</v>
      </c>
      <c r="B77" s="91">
        <f>Inputs!$B$63*VLOOKUP(Lookup!$I$9,'Cost Data'!$A$4:$C$10,3)</f>
        <v>26.47</v>
      </c>
      <c r="C77" s="91">
        <f>Inputs!$B$64*VLOOKUP(Lookup!$I$9,'Cost Data'!$A$4:$C$10,3)</f>
        <v>79.41</v>
      </c>
      <c r="D77" s="91">
        <f>Inputs!$B$65*VLOOKUP(Lookup!$I$9,'Cost Data'!$A$4:$C$10,3)</f>
        <v>158.82</v>
      </c>
      <c r="E77" s="92">
        <f>Inputs!$B$66*VLOOKUP(Lookup!$I$9,'Cost Data'!$A$4:$C$10,3)</f>
        <v>264.7</v>
      </c>
    </row>
    <row r="78" spans="1:5" ht="12.75">
      <c r="A78" s="36" t="s">
        <v>12</v>
      </c>
      <c r="B78" s="91">
        <f>Inputs!$B$63*VLOOKUP(Lookup!$I$9,'Cost Data'!$A$4:$C$10,3)</f>
        <v>26.47</v>
      </c>
      <c r="C78" s="91">
        <f>Inputs!$B$64*VLOOKUP(Lookup!$I$9,'Cost Data'!$A$4:$C$10,3)</f>
        <v>79.41</v>
      </c>
      <c r="D78" s="91">
        <f>Inputs!$B$65*VLOOKUP(Lookup!$I$9,'Cost Data'!$A$4:$C$10,3)</f>
        <v>158.82</v>
      </c>
      <c r="E78" s="92">
        <f>Inputs!$B$66*VLOOKUP(Lookup!$I$9,'Cost Data'!$A$4:$C$10,3)</f>
        <v>264.7</v>
      </c>
    </row>
    <row r="79" spans="1:6" ht="12.75">
      <c r="A79" s="39" t="s">
        <v>25</v>
      </c>
      <c r="B79" s="93">
        <f>SUM(B68:B72,B74:B78)</f>
        <v>1030.9825</v>
      </c>
      <c r="C79" s="93">
        <f>SUM(C68:C72,C74:C78)</f>
        <v>3092.9474999999998</v>
      </c>
      <c r="D79" s="93">
        <f>SUM(D68:D72,D74:D78)</f>
        <v>6185.8949999999995</v>
      </c>
      <c r="E79" s="94">
        <f>SUM(E68:E72,E74:E78)</f>
        <v>10309.825</v>
      </c>
      <c r="F79" s="77">
        <f>E79/10</f>
        <v>1030.9825</v>
      </c>
    </row>
    <row r="80" spans="1:7" s="14" customFormat="1" ht="12.75">
      <c r="A80" s="39" t="s">
        <v>96</v>
      </c>
      <c r="B80" s="40">
        <f>B79</f>
        <v>1030.9825</v>
      </c>
      <c r="C80" s="40">
        <f>C79/3</f>
        <v>1030.9824999999998</v>
      </c>
      <c r="D80" s="40">
        <f>D79/6</f>
        <v>1030.9824999999998</v>
      </c>
      <c r="E80" s="97">
        <f>E79/10</f>
        <v>1030.9825</v>
      </c>
      <c r="F80" s="75"/>
      <c r="G80" s="13"/>
    </row>
    <row r="83" ht="12.75">
      <c r="F83" s="74"/>
    </row>
    <row r="84" ht="12.75">
      <c r="F84" s="74"/>
    </row>
  </sheetData>
  <sheetProtection sheet="1" objects="1" scenarios="1"/>
  <mergeCells count="1">
    <mergeCell ref="A1:B2"/>
  </mergeCells>
  <printOptions horizontalCentered="1"/>
  <pageMargins left="0.75" right="0.75" top="1" bottom="1" header="0.5" footer="0.5"/>
  <pageSetup fitToHeight="1" fitToWidth="1" horizontalDpi="600" verticalDpi="600" orientation="portrait" scale="63" r:id="rId5"/>
  <drawing r:id="rId3"/>
  <legacyDrawing r:id="rId2"/>
  <picture r:id="rId4"/>
</worksheet>
</file>

<file path=xl/worksheets/sheet4.xml><?xml version="1.0" encoding="utf-8"?>
<worksheet xmlns="http://schemas.openxmlformats.org/spreadsheetml/2006/main" xmlns:r="http://schemas.openxmlformats.org/officeDocument/2006/relationships">
  <sheetPr codeName="Sheet5">
    <pageSetUpPr fitToPage="1"/>
  </sheetPr>
  <dimension ref="A1:F62"/>
  <sheetViews>
    <sheetView showGridLines="0" tabSelected="1" zoomScale="80" zoomScaleNormal="80" workbookViewId="0" topLeftCell="A18">
      <selection activeCell="D18" sqref="D18:E18"/>
    </sheetView>
  </sheetViews>
  <sheetFormatPr defaultColWidth="9.140625" defaultRowHeight="12.75"/>
  <cols>
    <col min="1" max="1" width="29.421875" style="1" customWidth="1"/>
    <col min="2" max="2" width="11.7109375" style="1" customWidth="1"/>
    <col min="3" max="3" width="17.7109375" style="1" customWidth="1"/>
    <col min="4" max="4" width="15.140625" style="10" customWidth="1"/>
    <col min="5" max="5" width="56.7109375" style="10" customWidth="1"/>
    <col min="6" max="6" width="38.7109375" style="1" customWidth="1"/>
    <col min="7" max="16384" width="9.140625" style="1" customWidth="1"/>
  </cols>
  <sheetData>
    <row r="1" spans="1:5" ht="12.75" customHeight="1">
      <c r="A1" s="356" t="s">
        <v>84</v>
      </c>
      <c r="B1" s="357"/>
      <c r="C1" s="357"/>
      <c r="D1" s="357"/>
      <c r="E1" s="82"/>
    </row>
    <row r="2" spans="1:2" ht="12.75" customHeight="1">
      <c r="A2" s="8"/>
      <c r="B2" s="4"/>
    </row>
    <row r="3" spans="1:6" ht="12.75" customHeight="1">
      <c r="A3" s="291" t="s">
        <v>350</v>
      </c>
      <c r="B3" s="291" t="s">
        <v>351</v>
      </c>
      <c r="C3" s="291" t="s">
        <v>26</v>
      </c>
      <c r="D3" s="353" t="s">
        <v>352</v>
      </c>
      <c r="E3" s="361"/>
      <c r="F3" s="33" t="s">
        <v>353</v>
      </c>
    </row>
    <row r="4" spans="1:6" ht="12.75" customHeight="1">
      <c r="A4" s="292" t="s">
        <v>343</v>
      </c>
      <c r="B4" s="358" t="s">
        <v>11</v>
      </c>
      <c r="C4" s="3">
        <f>ROUND(70.53*B59,2)</f>
        <v>77.58</v>
      </c>
      <c r="D4" s="362" t="s">
        <v>354</v>
      </c>
      <c r="E4" s="363"/>
      <c r="F4" s="293" t="s">
        <v>355</v>
      </c>
    </row>
    <row r="5" spans="1:6" ht="12.75" customHeight="1">
      <c r="A5" s="292" t="s">
        <v>344</v>
      </c>
      <c r="B5" s="359"/>
      <c r="C5" s="78">
        <f>ROUND(46.29*B59,2)</f>
        <v>50.92</v>
      </c>
      <c r="D5" s="364"/>
      <c r="E5" s="365"/>
      <c r="F5" s="293" t="s">
        <v>356</v>
      </c>
    </row>
    <row r="6" spans="1:6" ht="12.75" customHeight="1">
      <c r="A6" s="292" t="s">
        <v>345</v>
      </c>
      <c r="B6" s="359"/>
      <c r="C6" s="110">
        <f>ROUND(30.97*B59,2)</f>
        <v>34.07</v>
      </c>
      <c r="D6" s="364"/>
      <c r="E6" s="365"/>
      <c r="F6" s="293" t="s">
        <v>357</v>
      </c>
    </row>
    <row r="7" spans="1:6" ht="12.75" customHeight="1">
      <c r="A7" s="292" t="s">
        <v>346</v>
      </c>
      <c r="B7" s="359"/>
      <c r="C7" s="3">
        <f>ROUND(34.96*B59,2)</f>
        <v>38.46</v>
      </c>
      <c r="D7" s="364"/>
      <c r="E7" s="365"/>
      <c r="F7" s="293" t="s">
        <v>358</v>
      </c>
    </row>
    <row r="8" spans="1:6" ht="12.75" customHeight="1">
      <c r="A8" s="292" t="s">
        <v>347</v>
      </c>
      <c r="B8" s="359"/>
      <c r="C8" s="3">
        <f>ROUND(24.06*B59,2)</f>
        <v>26.47</v>
      </c>
      <c r="D8" s="364"/>
      <c r="E8" s="365"/>
      <c r="F8" s="293" t="s">
        <v>359</v>
      </c>
    </row>
    <row r="9" spans="1:6" ht="12.75" customHeight="1">
      <c r="A9" s="292" t="s">
        <v>348</v>
      </c>
      <c r="B9" s="359"/>
      <c r="C9" s="3">
        <f>ROUND(37.74*B59,2)</f>
        <v>41.51</v>
      </c>
      <c r="D9" s="364"/>
      <c r="E9" s="365"/>
      <c r="F9" s="293" t="s">
        <v>360</v>
      </c>
    </row>
    <row r="10" spans="1:6" ht="12.75" customHeight="1">
      <c r="A10" s="292" t="s">
        <v>349</v>
      </c>
      <c r="B10" s="360"/>
      <c r="C10" s="3">
        <f>ROUND(34.29*B59,2)</f>
        <v>37.72</v>
      </c>
      <c r="D10" s="366"/>
      <c r="E10" s="367"/>
      <c r="F10" s="293" t="s">
        <v>361</v>
      </c>
    </row>
    <row r="11" spans="1:2" ht="12.75" customHeight="1">
      <c r="A11" s="8"/>
      <c r="B11" s="4"/>
    </row>
    <row r="12" spans="1:6" ht="38.25" customHeight="1">
      <c r="A12" s="62" t="s">
        <v>47</v>
      </c>
      <c r="B12" s="31" t="s">
        <v>1</v>
      </c>
      <c r="C12" s="32" t="s">
        <v>26</v>
      </c>
      <c r="D12" s="353" t="s">
        <v>0</v>
      </c>
      <c r="E12" s="353"/>
      <c r="F12" s="34" t="s">
        <v>2</v>
      </c>
    </row>
    <row r="13" spans="1:6" ht="25.5" customHeight="1">
      <c r="A13" s="28" t="s">
        <v>48</v>
      </c>
      <c r="B13" s="28" t="s">
        <v>77</v>
      </c>
      <c r="C13" s="64">
        <f>ROUND(55000*B57,2)</f>
        <v>64350</v>
      </c>
      <c r="D13" s="347" t="s">
        <v>61</v>
      </c>
      <c r="E13" s="348"/>
      <c r="F13" s="20"/>
    </row>
    <row r="14" spans="1:6" ht="51.75" customHeight="1">
      <c r="A14" s="28" t="s">
        <v>49</v>
      </c>
      <c r="B14" s="28" t="s">
        <v>11</v>
      </c>
      <c r="C14" s="3">
        <f>ROUND(6*B57,2)</f>
        <v>7.02</v>
      </c>
      <c r="D14" s="347" t="s">
        <v>61</v>
      </c>
      <c r="E14" s="348"/>
      <c r="F14" s="20"/>
    </row>
    <row r="15" spans="1:6" ht="12.75" customHeight="1">
      <c r="A15" s="28" t="s">
        <v>51</v>
      </c>
      <c r="B15" s="28" t="s">
        <v>11</v>
      </c>
      <c r="C15" s="3">
        <f>ROUND(0.5*B57,2)</f>
        <v>0.59</v>
      </c>
      <c r="D15" s="347" t="s">
        <v>61</v>
      </c>
      <c r="E15" s="348"/>
      <c r="F15" s="20"/>
    </row>
    <row r="16" spans="1:6" ht="12.75" customHeight="1">
      <c r="A16" s="98"/>
      <c r="B16" s="98"/>
      <c r="C16" s="58"/>
      <c r="D16" s="99"/>
      <c r="E16" s="99"/>
      <c r="F16" s="99"/>
    </row>
    <row r="17" spans="1:6" ht="51" customHeight="1">
      <c r="A17" s="62" t="s">
        <v>114</v>
      </c>
      <c r="B17" s="31" t="s">
        <v>1</v>
      </c>
      <c r="C17" s="32" t="s">
        <v>26</v>
      </c>
      <c r="D17" s="354" t="s">
        <v>0</v>
      </c>
      <c r="E17" s="354"/>
      <c r="F17" s="34" t="s">
        <v>2</v>
      </c>
    </row>
    <row r="18" spans="1:6" ht="38.25" customHeight="1">
      <c r="A18" s="28" t="s">
        <v>116</v>
      </c>
      <c r="B18" s="27" t="s">
        <v>121</v>
      </c>
      <c r="C18" s="3">
        <f>ROUND(25*B61,2)</f>
        <v>26</v>
      </c>
      <c r="D18" s="347" t="s">
        <v>394</v>
      </c>
      <c r="E18" s="355"/>
      <c r="F18" s="20" t="s">
        <v>147</v>
      </c>
    </row>
    <row r="19" spans="1:6" ht="25.5" customHeight="1">
      <c r="A19" s="28" t="s">
        <v>122</v>
      </c>
      <c r="B19" s="27" t="s">
        <v>125</v>
      </c>
      <c r="C19" s="104">
        <f>(1/(100*D43))/60</f>
        <v>0.053763440860215055</v>
      </c>
      <c r="D19" s="347" t="s">
        <v>133</v>
      </c>
      <c r="E19" s="355"/>
      <c r="F19" s="20" t="s">
        <v>146</v>
      </c>
    </row>
    <row r="20" spans="1:6" ht="25.5" customHeight="1">
      <c r="A20" s="28" t="s">
        <v>118</v>
      </c>
      <c r="B20" s="28" t="s">
        <v>129</v>
      </c>
      <c r="C20" s="3">
        <f>D28</f>
        <v>54.9564</v>
      </c>
      <c r="D20" s="347"/>
      <c r="E20" s="348"/>
      <c r="F20" s="20" t="s">
        <v>144</v>
      </c>
    </row>
    <row r="21" spans="1:6" ht="12.75" customHeight="1">
      <c r="A21" s="28" t="s">
        <v>132</v>
      </c>
      <c r="B21" s="27" t="s">
        <v>77</v>
      </c>
      <c r="C21" s="3">
        <f>ROUND(7999*B61,2)</f>
        <v>8318.96</v>
      </c>
      <c r="D21" s="347" t="s">
        <v>124</v>
      </c>
      <c r="E21" s="348"/>
      <c r="F21" s="20" t="s">
        <v>123</v>
      </c>
    </row>
    <row r="22" spans="1:6" ht="12.75" customHeight="1">
      <c r="A22" s="28" t="s">
        <v>148</v>
      </c>
      <c r="B22" s="27" t="s">
        <v>149</v>
      </c>
      <c r="C22" s="3">
        <f>C32-C19*(C18+C20)</f>
        <v>2.7775053763440853</v>
      </c>
      <c r="D22" s="347" t="s">
        <v>291</v>
      </c>
      <c r="E22" s="348"/>
      <c r="F22" s="20" t="s">
        <v>150</v>
      </c>
    </row>
    <row r="23" spans="1:6" ht="12.75" customHeight="1">
      <c r="A23" s="98"/>
      <c r="B23" s="98"/>
      <c r="C23" s="58"/>
      <c r="D23" s="99"/>
      <c r="E23" s="99"/>
      <c r="F23" s="99"/>
    </row>
    <row r="24" spans="1:6" ht="12.75" customHeight="1">
      <c r="A24" s="62" t="s">
        <v>134</v>
      </c>
      <c r="B24" s="31" t="s">
        <v>135</v>
      </c>
      <c r="C24" s="32" t="s">
        <v>136</v>
      </c>
      <c r="D24" s="103" t="s">
        <v>140</v>
      </c>
      <c r="E24" s="34" t="s">
        <v>34</v>
      </c>
      <c r="F24" s="34" t="s">
        <v>2</v>
      </c>
    </row>
    <row r="25" spans="1:6" ht="31.5" customHeight="1">
      <c r="A25" s="28" t="s">
        <v>137</v>
      </c>
      <c r="B25" s="108">
        <f>256*B61</f>
        <v>266.24</v>
      </c>
      <c r="C25" s="105">
        <v>10</v>
      </c>
      <c r="D25" s="109">
        <f>B25/C25</f>
        <v>26.624000000000002</v>
      </c>
      <c r="E25" s="350" t="s">
        <v>393</v>
      </c>
      <c r="F25" s="20" t="s">
        <v>145</v>
      </c>
    </row>
    <row r="26" spans="1:6" ht="42" customHeight="1">
      <c r="A26" s="28" t="s">
        <v>391</v>
      </c>
      <c r="B26" s="323">
        <f>4.11*6.6</f>
        <v>27.126</v>
      </c>
      <c r="C26" s="105">
        <v>1</v>
      </c>
      <c r="D26" s="109">
        <f>B26/C26</f>
        <v>27.126</v>
      </c>
      <c r="E26" s="351"/>
      <c r="F26" s="20" t="s">
        <v>141</v>
      </c>
    </row>
    <row r="27" spans="1:6" ht="54" customHeight="1">
      <c r="A27" s="28" t="s">
        <v>138</v>
      </c>
      <c r="B27" s="108">
        <f>58*B61</f>
        <v>60.32</v>
      </c>
      <c r="C27" s="105">
        <v>50</v>
      </c>
      <c r="D27" s="109">
        <f>B27/C27</f>
        <v>1.2064</v>
      </c>
      <c r="E27" s="351"/>
      <c r="F27" s="20" t="s">
        <v>142</v>
      </c>
    </row>
    <row r="28" spans="1:6" ht="42" customHeight="1">
      <c r="A28" s="28" t="s">
        <v>139</v>
      </c>
      <c r="B28" s="111" t="s">
        <v>77</v>
      </c>
      <c r="C28" s="3" t="s">
        <v>77</v>
      </c>
      <c r="D28" s="109">
        <f>SUM(D25:D27)</f>
        <v>54.9564</v>
      </c>
      <c r="E28" s="352"/>
      <c r="F28" s="20"/>
    </row>
    <row r="29" spans="1:2" ht="12.75" customHeight="1">
      <c r="A29" s="8"/>
      <c r="B29" s="8"/>
    </row>
    <row r="30" spans="1:6" ht="25.5" customHeight="1">
      <c r="A30" s="30" t="s">
        <v>78</v>
      </c>
      <c r="B30" s="31" t="s">
        <v>1</v>
      </c>
      <c r="C30" s="32" t="s">
        <v>26</v>
      </c>
      <c r="D30" s="353" t="s">
        <v>0</v>
      </c>
      <c r="E30" s="353"/>
      <c r="F30" s="34" t="s">
        <v>2</v>
      </c>
    </row>
    <row r="31" spans="1:6" ht="25.5" customHeight="1">
      <c r="A31" s="28" t="s">
        <v>43</v>
      </c>
      <c r="B31" s="27" t="s">
        <v>42</v>
      </c>
      <c r="C31" s="3">
        <f>ROUND(15*B58,2)</f>
        <v>17.1</v>
      </c>
      <c r="D31" s="347" t="s">
        <v>44</v>
      </c>
      <c r="E31" s="348"/>
      <c r="F31" s="20"/>
    </row>
    <row r="32" spans="1:6" ht="38.25" customHeight="1">
      <c r="A32" s="50" t="s">
        <v>108</v>
      </c>
      <c r="B32" s="27" t="s">
        <v>42</v>
      </c>
      <c r="C32" s="3">
        <f>ROUND(20/3*B60,2)</f>
        <v>7.13</v>
      </c>
      <c r="D32" s="345" t="s">
        <v>112</v>
      </c>
      <c r="E32" s="349"/>
      <c r="F32" s="20" t="s">
        <v>113</v>
      </c>
    </row>
    <row r="33" spans="1:6" ht="38.25" customHeight="1">
      <c r="A33" s="50" t="s">
        <v>35</v>
      </c>
      <c r="B33" s="27" t="s">
        <v>27</v>
      </c>
      <c r="C33" s="3">
        <f>ROUND(0.36*B60,2)</f>
        <v>0.39</v>
      </c>
      <c r="D33" s="345" t="s">
        <v>65</v>
      </c>
      <c r="E33" s="346"/>
      <c r="F33" s="20" t="s">
        <v>66</v>
      </c>
    </row>
    <row r="34" spans="1:6" ht="76.5" customHeight="1">
      <c r="A34" s="26" t="s">
        <v>9</v>
      </c>
      <c r="B34" s="27" t="s">
        <v>38</v>
      </c>
      <c r="C34" s="3">
        <f>ROUND(0.35*B59,2)</f>
        <v>0.39</v>
      </c>
      <c r="D34" s="331" t="s">
        <v>63</v>
      </c>
      <c r="E34" s="332"/>
      <c r="F34" s="20" t="s">
        <v>62</v>
      </c>
    </row>
    <row r="35" spans="1:6" ht="76.5" customHeight="1">
      <c r="A35" s="26" t="s">
        <v>53</v>
      </c>
      <c r="B35" s="27" t="s">
        <v>11</v>
      </c>
      <c r="C35" s="3">
        <f>ROUND(11.14*B60,2)</f>
        <v>11.92</v>
      </c>
      <c r="D35" s="331" t="s">
        <v>64</v>
      </c>
      <c r="E35" s="332"/>
      <c r="F35" s="20"/>
    </row>
    <row r="36" spans="1:3" ht="12.75" customHeight="1">
      <c r="A36" s="11"/>
      <c r="B36" s="11"/>
      <c r="C36" s="12"/>
    </row>
    <row r="37" spans="1:6" ht="38.25" customHeight="1">
      <c r="A37" s="30" t="s">
        <v>29</v>
      </c>
      <c r="B37" s="51" t="s">
        <v>30</v>
      </c>
      <c r="C37" s="51" t="s">
        <v>31</v>
      </c>
      <c r="D37" s="33" t="s">
        <v>33</v>
      </c>
      <c r="E37" s="34" t="s">
        <v>34</v>
      </c>
      <c r="F37" s="34" t="s">
        <v>2</v>
      </c>
    </row>
    <row r="38" spans="1:6" ht="25.5" customHeight="1">
      <c r="A38" s="26" t="s">
        <v>9</v>
      </c>
      <c r="B38" s="50" t="s">
        <v>45</v>
      </c>
      <c r="C38" s="50" t="s">
        <v>32</v>
      </c>
      <c r="D38" s="79">
        <f>4.5/2000</f>
        <v>0.00225</v>
      </c>
      <c r="E38" s="20" t="s">
        <v>67</v>
      </c>
      <c r="F38" s="20" t="s">
        <v>109</v>
      </c>
    </row>
    <row r="39" spans="1:6" ht="38.25" customHeight="1">
      <c r="A39" s="26" t="s">
        <v>213</v>
      </c>
      <c r="B39" s="28" t="s">
        <v>32</v>
      </c>
      <c r="C39" s="50" t="s">
        <v>41</v>
      </c>
      <c r="D39" s="176">
        <v>0.83</v>
      </c>
      <c r="E39" s="20" t="s">
        <v>214</v>
      </c>
      <c r="F39" s="20"/>
    </row>
    <row r="40" spans="1:6" ht="76.5" customHeight="1">
      <c r="A40" s="26" t="s">
        <v>186</v>
      </c>
      <c r="B40" s="50" t="s">
        <v>185</v>
      </c>
      <c r="C40" s="50" t="s">
        <v>339</v>
      </c>
      <c r="D40" s="85">
        <v>3.6667</v>
      </c>
      <c r="E40" s="20" t="s">
        <v>187</v>
      </c>
      <c r="F40" s="20"/>
    </row>
    <row r="41" spans="1:6" ht="51" customHeight="1">
      <c r="A41" s="26" t="s">
        <v>36</v>
      </c>
      <c r="B41" s="50" t="s">
        <v>207</v>
      </c>
      <c r="C41" s="50" t="s">
        <v>208</v>
      </c>
      <c r="D41" s="85">
        <v>1.624</v>
      </c>
      <c r="E41" s="20" t="s">
        <v>209</v>
      </c>
      <c r="F41" s="20"/>
    </row>
    <row r="42" spans="1:6" ht="76.5" customHeight="1">
      <c r="A42" s="26" t="s">
        <v>36</v>
      </c>
      <c r="B42" s="26" t="s">
        <v>46</v>
      </c>
      <c r="C42" s="50" t="s">
        <v>32</v>
      </c>
      <c r="D42" s="85">
        <f>3/2000</f>
        <v>0.0015</v>
      </c>
      <c r="E42" s="20" t="s">
        <v>68</v>
      </c>
      <c r="F42" s="20" t="s">
        <v>110</v>
      </c>
    </row>
    <row r="43" spans="1:6" ht="12.75" customHeight="1">
      <c r="A43" s="26" t="s">
        <v>36</v>
      </c>
      <c r="B43" s="26" t="s">
        <v>46</v>
      </c>
      <c r="C43" s="50" t="s">
        <v>216</v>
      </c>
      <c r="D43" s="85">
        <v>0.0031</v>
      </c>
      <c r="E43" s="20"/>
      <c r="F43" s="20" t="s">
        <v>117</v>
      </c>
    </row>
    <row r="44" spans="1:6" ht="12.75" customHeight="1">
      <c r="A44" s="26" t="s">
        <v>215</v>
      </c>
      <c r="B44" s="26" t="s">
        <v>233</v>
      </c>
      <c r="C44" s="50" t="s">
        <v>234</v>
      </c>
      <c r="D44" s="80">
        <v>3.6</v>
      </c>
      <c r="E44" s="20"/>
      <c r="F44" s="20"/>
    </row>
    <row r="45" spans="1:6" ht="12.75">
      <c r="A45" s="26" t="s">
        <v>215</v>
      </c>
      <c r="B45" s="26" t="s">
        <v>234</v>
      </c>
      <c r="C45" s="50" t="s">
        <v>288</v>
      </c>
      <c r="D45" s="80">
        <v>947.8</v>
      </c>
      <c r="E45" s="20"/>
      <c r="F45" s="20"/>
    </row>
    <row r="46" spans="1:6" ht="12.75">
      <c r="A46" s="26" t="s">
        <v>215</v>
      </c>
      <c r="B46" s="50" t="s">
        <v>188</v>
      </c>
      <c r="C46" s="50" t="s">
        <v>189</v>
      </c>
      <c r="D46" s="85">
        <v>2.2046</v>
      </c>
      <c r="E46" s="20"/>
      <c r="F46" s="20"/>
    </row>
    <row r="47" spans="1:6" ht="12.75">
      <c r="A47" s="26" t="s">
        <v>215</v>
      </c>
      <c r="B47" s="50" t="s">
        <v>376</v>
      </c>
      <c r="C47" s="50" t="s">
        <v>32</v>
      </c>
      <c r="D47" s="85">
        <v>1.1023</v>
      </c>
      <c r="E47" s="20"/>
      <c r="F47" s="20"/>
    </row>
    <row r="48" spans="1:6" ht="12.75">
      <c r="A48" s="26" t="s">
        <v>215</v>
      </c>
      <c r="B48" s="50" t="s">
        <v>378</v>
      </c>
      <c r="C48" s="50" t="s">
        <v>379</v>
      </c>
      <c r="D48" s="85">
        <v>28.3495</v>
      </c>
      <c r="E48" s="20"/>
      <c r="F48" s="20"/>
    </row>
    <row r="49" spans="1:6" ht="15.75">
      <c r="A49" s="26" t="s">
        <v>167</v>
      </c>
      <c r="B49" s="50" t="s">
        <v>381</v>
      </c>
      <c r="C49" s="50" t="s">
        <v>380</v>
      </c>
      <c r="D49" s="85">
        <f>12/44</f>
        <v>0.2727272727272727</v>
      </c>
      <c r="E49" s="20"/>
      <c r="F49" s="20"/>
    </row>
    <row r="50" spans="1:6" ht="12.75">
      <c r="A50" s="26" t="s">
        <v>266</v>
      </c>
      <c r="B50" s="50" t="s">
        <v>267</v>
      </c>
      <c r="C50" s="50" t="s">
        <v>188</v>
      </c>
      <c r="D50" s="176">
        <v>3.79</v>
      </c>
      <c r="E50" s="20"/>
      <c r="F50" s="20"/>
    </row>
    <row r="51" spans="1:6" ht="76.5">
      <c r="A51" s="27" t="s">
        <v>10</v>
      </c>
      <c r="B51" s="28" t="s">
        <v>41</v>
      </c>
      <c r="C51" s="28" t="s">
        <v>32</v>
      </c>
      <c r="D51" s="80">
        <v>0.2</v>
      </c>
      <c r="E51" s="20" t="s">
        <v>69</v>
      </c>
      <c r="F51" s="20" t="s">
        <v>109</v>
      </c>
    </row>
    <row r="52" spans="1:6" ht="51">
      <c r="A52" s="27" t="s">
        <v>50</v>
      </c>
      <c r="B52" s="28" t="s">
        <v>41</v>
      </c>
      <c r="C52" s="28" t="s">
        <v>41</v>
      </c>
      <c r="D52" s="81">
        <f>(0.5+0.25)/2</f>
        <v>0.375</v>
      </c>
      <c r="E52" s="29" t="s">
        <v>70</v>
      </c>
      <c r="F52" s="29" t="s">
        <v>85</v>
      </c>
    </row>
    <row r="53" spans="1:3" ht="12.75">
      <c r="A53" s="11"/>
      <c r="B53" s="11"/>
      <c r="C53" s="12"/>
    </row>
    <row r="54" spans="1:3" ht="12.75">
      <c r="A54" s="11"/>
      <c r="B54" s="11"/>
      <c r="C54" s="12"/>
    </row>
    <row r="55" spans="1:3" ht="12.75">
      <c r="A55" s="369" t="s">
        <v>4</v>
      </c>
      <c r="B55" s="370"/>
      <c r="C55" s="46"/>
    </row>
    <row r="56" spans="1:3" ht="12.75">
      <c r="A56" s="15" t="s">
        <v>5</v>
      </c>
      <c r="B56" s="371" t="s">
        <v>332</v>
      </c>
      <c r="C56" s="372"/>
    </row>
    <row r="57" spans="1:3" ht="12.75">
      <c r="A57" s="16">
        <v>2003</v>
      </c>
      <c r="B57" s="375">
        <v>1.17</v>
      </c>
      <c r="C57" s="376"/>
    </row>
    <row r="58" spans="1:3" ht="12.75">
      <c r="A58" s="16">
        <v>2004</v>
      </c>
      <c r="B58" s="373">
        <v>1.14</v>
      </c>
      <c r="C58" s="374"/>
    </row>
    <row r="59" spans="1:3" ht="12.75">
      <c r="A59" s="16">
        <v>2005</v>
      </c>
      <c r="B59" s="373">
        <v>1.1</v>
      </c>
      <c r="C59" s="374"/>
    </row>
    <row r="60" spans="1:3" ht="12.75">
      <c r="A60" s="16">
        <v>2006</v>
      </c>
      <c r="B60" s="378">
        <v>1.07</v>
      </c>
      <c r="C60" s="379"/>
    </row>
    <row r="61" spans="1:3" ht="12.75">
      <c r="A61" s="16">
        <v>2007</v>
      </c>
      <c r="B61" s="373">
        <v>1.04</v>
      </c>
      <c r="C61" s="377"/>
    </row>
    <row r="62" spans="1:3" ht="12.75">
      <c r="A62" s="368" t="s">
        <v>6</v>
      </c>
      <c r="B62" s="368"/>
      <c r="C62" s="368"/>
    </row>
  </sheetData>
  <sheetProtection/>
  <mergeCells count="29">
    <mergeCell ref="D19:E19"/>
    <mergeCell ref="A62:C62"/>
    <mergeCell ref="A55:B55"/>
    <mergeCell ref="B56:C56"/>
    <mergeCell ref="B59:C59"/>
    <mergeCell ref="B58:C58"/>
    <mergeCell ref="B57:C57"/>
    <mergeCell ref="B61:C61"/>
    <mergeCell ref="B60:C60"/>
    <mergeCell ref="D20:E20"/>
    <mergeCell ref="D17:E17"/>
    <mergeCell ref="D18:E18"/>
    <mergeCell ref="A1:D1"/>
    <mergeCell ref="D12:E12"/>
    <mergeCell ref="D13:E13"/>
    <mergeCell ref="D14:E14"/>
    <mergeCell ref="D15:E15"/>
    <mergeCell ref="B4:B10"/>
    <mergeCell ref="D3:E3"/>
    <mergeCell ref="D4:E10"/>
    <mergeCell ref="D21:E21"/>
    <mergeCell ref="E25:E28"/>
    <mergeCell ref="D30:E30"/>
    <mergeCell ref="D22:E22"/>
    <mergeCell ref="D34:E34"/>
    <mergeCell ref="D33:E33"/>
    <mergeCell ref="D31:E31"/>
    <mergeCell ref="D35:E35"/>
    <mergeCell ref="D32:E32"/>
  </mergeCells>
  <printOptions horizontalCentered="1"/>
  <pageMargins left="0.75" right="0.75" top="1" bottom="1" header="0.5" footer="0.5"/>
  <pageSetup fitToHeight="2" fitToWidth="1" horizontalDpi="600" verticalDpi="600" orientation="landscape" scale="58" r:id="rId3"/>
  <drawing r:id="rId1"/>
  <picture r:id="rId2"/>
</worksheet>
</file>

<file path=xl/worksheets/sheet5.xml><?xml version="1.0" encoding="utf-8"?>
<worksheet xmlns="http://schemas.openxmlformats.org/spreadsheetml/2006/main" xmlns:r="http://schemas.openxmlformats.org/officeDocument/2006/relationships">
  <sheetPr codeName="Sheet4">
    <pageSetUpPr fitToPage="1"/>
  </sheetPr>
  <dimension ref="A1:I21"/>
  <sheetViews>
    <sheetView showGridLines="0" workbookViewId="0" topLeftCell="A13">
      <selection activeCell="A1" sqref="A1:H1"/>
    </sheetView>
  </sheetViews>
  <sheetFormatPr defaultColWidth="9.140625" defaultRowHeight="12.75"/>
  <sheetData>
    <row r="1" spans="1:8" ht="12.75" customHeight="1">
      <c r="A1" s="380" t="s">
        <v>92</v>
      </c>
      <c r="B1" s="380"/>
      <c r="C1" s="380"/>
      <c r="D1" s="381"/>
      <c r="E1" s="381"/>
      <c r="F1" s="381"/>
      <c r="G1" s="381"/>
      <c r="H1" s="381"/>
    </row>
    <row r="2" ht="18.75" customHeight="1"/>
    <row r="21" spans="1:9" ht="12.75">
      <c r="A21" s="45"/>
      <c r="B21" s="5"/>
      <c r="C21" s="5"/>
      <c r="D21" s="5"/>
      <c r="E21" s="5"/>
      <c r="F21" s="5"/>
      <c r="G21" s="5"/>
      <c r="H21" s="5"/>
      <c r="I21" s="5"/>
    </row>
  </sheetData>
  <sheetProtection sheet="1" objects="1" scenarios="1"/>
  <mergeCells count="1">
    <mergeCell ref="A1:H1"/>
  </mergeCells>
  <printOptions horizontalCentered="1"/>
  <pageMargins left="0.75" right="0.75" top="1" bottom="1" header="0.5" footer="0.5"/>
  <pageSetup fitToHeight="1" fitToWidth="1" horizontalDpi="600" verticalDpi="600" orientation="landscape" scale="84" r:id="rId3"/>
  <drawing r:id="rId1"/>
  <picture r:id="rId2"/>
</worksheet>
</file>

<file path=xl/worksheets/sheet6.xml><?xml version="1.0" encoding="utf-8"?>
<worksheet xmlns="http://schemas.openxmlformats.org/spreadsheetml/2006/main" xmlns:r="http://schemas.openxmlformats.org/officeDocument/2006/relationships">
  <sheetPr codeName="Sheet6"/>
  <dimension ref="A1:I23"/>
  <sheetViews>
    <sheetView showGridLines="0" workbookViewId="0" topLeftCell="A1">
      <selection activeCell="A1" sqref="A1:I1"/>
    </sheetView>
  </sheetViews>
  <sheetFormatPr defaultColWidth="9.140625" defaultRowHeight="12.75"/>
  <sheetData>
    <row r="1" spans="1:9" ht="25.5" customHeight="1">
      <c r="A1" s="339" t="s">
        <v>86</v>
      </c>
      <c r="B1" s="340"/>
      <c r="C1" s="340"/>
      <c r="D1" s="340"/>
      <c r="E1" s="340"/>
      <c r="F1" s="340"/>
      <c r="G1" s="340"/>
      <c r="H1" s="340"/>
      <c r="I1" s="388"/>
    </row>
    <row r="2" spans="1:9" ht="12.75">
      <c r="A2" s="18"/>
      <c r="B2" s="19"/>
      <c r="C2" s="19"/>
      <c r="D2" s="19"/>
      <c r="E2" s="19"/>
      <c r="F2" s="19"/>
      <c r="G2" s="19"/>
      <c r="H2" s="19"/>
      <c r="I2" s="21"/>
    </row>
    <row r="3" spans="1:9" ht="25.5" customHeight="1">
      <c r="A3" s="382" t="s">
        <v>87</v>
      </c>
      <c r="B3" s="343"/>
      <c r="C3" s="343"/>
      <c r="D3" s="343"/>
      <c r="E3" s="343"/>
      <c r="F3" s="343"/>
      <c r="G3" s="343"/>
      <c r="H3" s="343"/>
      <c r="I3" s="344"/>
    </row>
    <row r="4" spans="1:9" ht="7.5" customHeight="1">
      <c r="A4" s="25"/>
      <c r="B4" s="23"/>
      <c r="C4" s="23"/>
      <c r="D4" s="23"/>
      <c r="E4" s="23"/>
      <c r="F4" s="23"/>
      <c r="G4" s="23"/>
      <c r="H4" s="23"/>
      <c r="I4" s="24"/>
    </row>
    <row r="5" spans="1:9" ht="23.25" customHeight="1">
      <c r="A5" s="382" t="s">
        <v>88</v>
      </c>
      <c r="B5" s="343"/>
      <c r="C5" s="343"/>
      <c r="D5" s="343"/>
      <c r="E5" s="343"/>
      <c r="F5" s="343"/>
      <c r="G5" s="343"/>
      <c r="H5" s="343"/>
      <c r="I5" s="344"/>
    </row>
    <row r="6" spans="1:9" ht="6" customHeight="1">
      <c r="A6" s="25"/>
      <c r="B6" s="23"/>
      <c r="C6" s="23"/>
      <c r="D6" s="23"/>
      <c r="E6" s="23"/>
      <c r="F6" s="23"/>
      <c r="G6" s="23"/>
      <c r="H6" s="23"/>
      <c r="I6" s="24"/>
    </row>
    <row r="7" spans="1:9" ht="39.75" customHeight="1">
      <c r="A7" s="382" t="s">
        <v>101</v>
      </c>
      <c r="B7" s="343"/>
      <c r="C7" s="343"/>
      <c r="D7" s="343"/>
      <c r="E7" s="343"/>
      <c r="F7" s="343"/>
      <c r="G7" s="343"/>
      <c r="H7" s="343"/>
      <c r="I7" s="344"/>
    </row>
    <row r="8" spans="1:9" ht="12.75" customHeight="1">
      <c r="A8" s="25"/>
      <c r="B8" s="23"/>
      <c r="C8" s="23"/>
      <c r="D8" s="23"/>
      <c r="E8" s="23"/>
      <c r="F8" s="23"/>
      <c r="G8" s="23"/>
      <c r="H8" s="23"/>
      <c r="I8" s="24"/>
    </row>
    <row r="9" spans="1:9" ht="38.25" customHeight="1">
      <c r="A9" s="382" t="s">
        <v>94</v>
      </c>
      <c r="B9" s="343"/>
      <c r="C9" s="343"/>
      <c r="D9" s="343"/>
      <c r="E9" s="343"/>
      <c r="F9" s="343"/>
      <c r="G9" s="343"/>
      <c r="H9" s="343"/>
      <c r="I9" s="344"/>
    </row>
    <row r="10" spans="1:9" ht="9.75" customHeight="1">
      <c r="A10" s="22"/>
      <c r="B10" s="23"/>
      <c r="C10" s="23"/>
      <c r="D10" s="23"/>
      <c r="E10" s="23"/>
      <c r="F10" s="23"/>
      <c r="G10" s="23"/>
      <c r="H10" s="23"/>
      <c r="I10" s="24"/>
    </row>
    <row r="11" spans="1:9" ht="12.75" customHeight="1">
      <c r="A11" s="382" t="s">
        <v>89</v>
      </c>
      <c r="B11" s="343"/>
      <c r="C11" s="343"/>
      <c r="D11" s="343"/>
      <c r="E11" s="343"/>
      <c r="F11" s="343"/>
      <c r="G11" s="343"/>
      <c r="H11" s="343"/>
      <c r="I11" s="344"/>
    </row>
    <row r="12" spans="1:9" ht="12.75" customHeight="1">
      <c r="A12" s="22"/>
      <c r="B12" s="23"/>
      <c r="C12" s="23"/>
      <c r="D12" s="23"/>
      <c r="E12" s="23"/>
      <c r="F12" s="23"/>
      <c r="G12" s="23"/>
      <c r="H12" s="23"/>
      <c r="I12" s="24"/>
    </row>
    <row r="13" spans="1:9" ht="25.5" customHeight="1">
      <c r="A13" s="382" t="s">
        <v>100</v>
      </c>
      <c r="B13" s="324"/>
      <c r="C13" s="324"/>
      <c r="D13" s="324"/>
      <c r="E13" s="324"/>
      <c r="F13" s="324"/>
      <c r="G13" s="324"/>
      <c r="H13" s="324"/>
      <c r="I13" s="325"/>
    </row>
    <row r="14" spans="1:9" ht="12.75" customHeight="1">
      <c r="A14" s="22"/>
      <c r="B14" s="23"/>
      <c r="C14" s="23"/>
      <c r="D14" s="23"/>
      <c r="E14" s="23"/>
      <c r="F14" s="23"/>
      <c r="G14" s="23"/>
      <c r="H14" s="23"/>
      <c r="I14" s="24"/>
    </row>
    <row r="15" spans="1:9" ht="25.5" customHeight="1">
      <c r="A15" s="382" t="s">
        <v>90</v>
      </c>
      <c r="B15" s="324"/>
      <c r="C15" s="324"/>
      <c r="D15" s="324"/>
      <c r="E15" s="324"/>
      <c r="F15" s="324"/>
      <c r="G15" s="324"/>
      <c r="H15" s="324"/>
      <c r="I15" s="325"/>
    </row>
    <row r="16" spans="1:9" ht="12.75" customHeight="1">
      <c r="A16" s="22"/>
      <c r="B16" s="84"/>
      <c r="C16" s="84"/>
      <c r="D16" s="84"/>
      <c r="E16" s="84"/>
      <c r="F16" s="84"/>
      <c r="G16" s="84"/>
      <c r="H16" s="84"/>
      <c r="I16" s="24"/>
    </row>
    <row r="17" spans="1:9" ht="25.5" customHeight="1">
      <c r="A17" s="382" t="s">
        <v>97</v>
      </c>
      <c r="B17" s="324"/>
      <c r="C17" s="324"/>
      <c r="D17" s="324"/>
      <c r="E17" s="324"/>
      <c r="F17" s="324"/>
      <c r="G17" s="324"/>
      <c r="H17" s="324"/>
      <c r="I17" s="325"/>
    </row>
    <row r="18" spans="1:9" ht="12.75" customHeight="1">
      <c r="A18" s="22"/>
      <c r="B18" s="23"/>
      <c r="C18" s="23"/>
      <c r="D18" s="23"/>
      <c r="E18" s="23"/>
      <c r="F18" s="23"/>
      <c r="G18" s="23"/>
      <c r="H18" s="23"/>
      <c r="I18" s="24"/>
    </row>
    <row r="19" spans="1:9" ht="25.5" customHeight="1">
      <c r="A19" s="382" t="s">
        <v>72</v>
      </c>
      <c r="B19" s="324"/>
      <c r="C19" s="324"/>
      <c r="D19" s="324"/>
      <c r="E19" s="324"/>
      <c r="F19" s="324"/>
      <c r="G19" s="324"/>
      <c r="H19" s="324"/>
      <c r="I19" s="325"/>
    </row>
    <row r="20" spans="1:9" ht="12.75" customHeight="1">
      <c r="A20" s="25"/>
      <c r="B20" s="23"/>
      <c r="C20" s="23"/>
      <c r="D20" s="23"/>
      <c r="E20" s="23"/>
      <c r="F20" s="23"/>
      <c r="G20" s="23"/>
      <c r="H20" s="23"/>
      <c r="I20" s="24"/>
    </row>
    <row r="21" spans="1:9" ht="12.75" customHeight="1">
      <c r="A21" s="382" t="s">
        <v>99</v>
      </c>
      <c r="B21" s="386"/>
      <c r="C21" s="386"/>
      <c r="D21" s="386"/>
      <c r="E21" s="386"/>
      <c r="F21" s="386"/>
      <c r="G21" s="386"/>
      <c r="H21" s="386"/>
      <c r="I21" s="387"/>
    </row>
    <row r="22" spans="1:9" ht="12.75" customHeight="1">
      <c r="A22" s="25"/>
      <c r="B22" s="23"/>
      <c r="C22" s="23"/>
      <c r="D22" s="23"/>
      <c r="E22" s="23"/>
      <c r="F22" s="23"/>
      <c r="G22" s="23"/>
      <c r="H22" s="23"/>
      <c r="I22" s="24"/>
    </row>
    <row r="23" spans="1:9" ht="12.75" customHeight="1">
      <c r="A23" s="383" t="s">
        <v>98</v>
      </c>
      <c r="B23" s="384"/>
      <c r="C23" s="384"/>
      <c r="D23" s="384"/>
      <c r="E23" s="384"/>
      <c r="F23" s="384"/>
      <c r="G23" s="384"/>
      <c r="H23" s="384"/>
      <c r="I23" s="385"/>
    </row>
  </sheetData>
  <sheetProtection sheet="1" objects="1" scenarios="1"/>
  <mergeCells count="12">
    <mergeCell ref="A1:I1"/>
    <mergeCell ref="A11:I11"/>
    <mergeCell ref="A5:I5"/>
    <mergeCell ref="A7:I7"/>
    <mergeCell ref="A9:I9"/>
    <mergeCell ref="A3:I3"/>
    <mergeCell ref="A13:I13"/>
    <mergeCell ref="A23:I23"/>
    <mergeCell ref="A15:I15"/>
    <mergeCell ref="A19:I19"/>
    <mergeCell ref="A21:I21"/>
    <mergeCell ref="A17:I17"/>
  </mergeCells>
  <printOptions/>
  <pageMargins left="0.75" right="0.75" top="1" bottom="1" header="0.5" footer="0.5"/>
  <pageSetup horizontalDpi="600" verticalDpi="600" orientation="portrait" r:id="rId3"/>
  <drawing r:id="rId1"/>
  <picture r:id="rId2"/>
</worksheet>
</file>

<file path=xl/worksheets/sheet7.xml><?xml version="1.0" encoding="utf-8"?>
<worksheet xmlns="http://schemas.openxmlformats.org/spreadsheetml/2006/main" xmlns:r="http://schemas.openxmlformats.org/officeDocument/2006/relationships">
  <sheetPr codeName="Sheet8">
    <pageSetUpPr fitToPage="1"/>
  </sheetPr>
  <dimension ref="A1:T211"/>
  <sheetViews>
    <sheetView showGridLines="0" zoomScale="75" zoomScaleNormal="75" workbookViewId="0" topLeftCell="A1">
      <selection activeCell="A1" sqref="A1:C2"/>
    </sheetView>
  </sheetViews>
  <sheetFormatPr defaultColWidth="9.140625" defaultRowHeight="12.75"/>
  <cols>
    <col min="1" max="1" width="26.28125" style="7" customWidth="1"/>
    <col min="2" max="5" width="10.7109375" style="7" customWidth="1"/>
    <col min="6" max="6" width="10.7109375" style="7" hidden="1" customWidth="1"/>
    <col min="7" max="7" width="9.140625" style="7" customWidth="1"/>
    <col min="8" max="8" width="25.7109375" style="7" customWidth="1"/>
    <col min="9" max="12" width="10.7109375" style="7" customWidth="1"/>
    <col min="13" max="13" width="10.7109375" style="7" hidden="1" customWidth="1"/>
    <col min="14" max="14" width="9.140625" style="7" customWidth="1"/>
    <col min="15" max="15" width="26.28125" style="7" customWidth="1"/>
    <col min="16" max="19" width="10.7109375" style="7" customWidth="1"/>
    <col min="20" max="16384" width="9.140625" style="7" customWidth="1"/>
  </cols>
  <sheetData>
    <row r="1" spans="1:19" ht="12.75" customHeight="1">
      <c r="A1" s="329" t="s">
        <v>151</v>
      </c>
      <c r="B1" s="330"/>
      <c r="C1" s="330"/>
      <c r="D1" s="112" t="s">
        <v>292</v>
      </c>
      <c r="E1" s="6"/>
      <c r="F1" s="6"/>
      <c r="G1" s="6"/>
      <c r="H1" s="404"/>
      <c r="I1" s="405"/>
      <c r="J1" s="6"/>
      <c r="K1" s="6"/>
      <c r="L1" s="6"/>
      <c r="M1" s="242"/>
      <c r="O1" s="404"/>
      <c r="P1" s="405"/>
      <c r="Q1" s="6"/>
      <c r="R1" s="6"/>
      <c r="S1" s="6"/>
    </row>
    <row r="2" spans="1:16" ht="12.75">
      <c r="A2" s="330"/>
      <c r="B2" s="330"/>
      <c r="C2" s="330"/>
      <c r="D2" s="112"/>
      <c r="H2" s="405"/>
      <c r="I2" s="405"/>
      <c r="M2" s="57"/>
      <c r="O2" s="405"/>
      <c r="P2" s="405"/>
    </row>
    <row r="3" spans="13:14" ht="12.75">
      <c r="M3" s="57"/>
      <c r="N3" s="57"/>
    </row>
    <row r="4" spans="1:19" s="14" customFormat="1" ht="12.75" customHeight="1">
      <c r="A4" s="261" t="s">
        <v>152</v>
      </c>
      <c r="B4" s="261"/>
      <c r="C4" s="262"/>
      <c r="D4" s="262"/>
      <c r="E4" s="262"/>
      <c r="F4" s="262"/>
      <c r="G4" s="294"/>
      <c r="H4" s="261" t="s">
        <v>75</v>
      </c>
      <c r="I4" s="261"/>
      <c r="J4" s="262"/>
      <c r="K4" s="262"/>
      <c r="L4" s="262"/>
      <c r="M4" s="262"/>
      <c r="N4" s="294"/>
      <c r="O4" s="261" t="s">
        <v>280</v>
      </c>
      <c r="P4" s="261"/>
      <c r="Q4" s="262"/>
      <c r="R4" s="262"/>
      <c r="S4" s="262"/>
    </row>
    <row r="5" spans="1:19" ht="12.75" customHeight="1">
      <c r="A5" s="179" t="s">
        <v>102</v>
      </c>
      <c r="B5" s="180" t="s">
        <v>21</v>
      </c>
      <c r="C5" s="180" t="s">
        <v>18</v>
      </c>
      <c r="D5" s="180" t="s">
        <v>19</v>
      </c>
      <c r="E5" s="181" t="s">
        <v>20</v>
      </c>
      <c r="F5" s="42"/>
      <c r="G5" s="242"/>
      <c r="H5" s="179" t="s">
        <v>102</v>
      </c>
      <c r="I5" s="180" t="s">
        <v>21</v>
      </c>
      <c r="J5" s="180" t="s">
        <v>18</v>
      </c>
      <c r="K5" s="180" t="s">
        <v>19</v>
      </c>
      <c r="L5" s="181" t="s">
        <v>20</v>
      </c>
      <c r="M5" s="42"/>
      <c r="N5" s="57"/>
      <c r="O5" s="179" t="s">
        <v>102</v>
      </c>
      <c r="P5" s="180" t="s">
        <v>21</v>
      </c>
      <c r="Q5" s="180" t="s">
        <v>18</v>
      </c>
      <c r="R5" s="180" t="s">
        <v>19</v>
      </c>
      <c r="S5" s="181" t="s">
        <v>20</v>
      </c>
    </row>
    <row r="6" spans="1:19" ht="12.75">
      <c r="A6" s="36" t="s">
        <v>153</v>
      </c>
      <c r="B6" s="195">
        <f>(Inputs!$B$7*'Cost Data'!$D$51*2000)-(B7+B8)</f>
        <v>14666.666666666666</v>
      </c>
      <c r="C6" s="195">
        <f>(Inputs!$B$7*3*'Cost Data'!$D$51*2000)-(C7+C8)</f>
        <v>44000</v>
      </c>
      <c r="D6" s="195">
        <f>(Inputs!$B$7*6*'Cost Data'!$D$51*2000)-(D7+D8)</f>
        <v>88000</v>
      </c>
      <c r="E6" s="196">
        <f>(Inputs!$B$7*10*'Cost Data'!$D$51*2000)-(E7+E8)</f>
        <v>146666.6666666667</v>
      </c>
      <c r="F6" s="208"/>
      <c r="G6" s="6"/>
      <c r="H6" s="36" t="s">
        <v>153</v>
      </c>
      <c r="I6" s="195">
        <f>B6</f>
        <v>14666.666666666666</v>
      </c>
      <c r="J6" s="195">
        <f>C6</f>
        <v>44000</v>
      </c>
      <c r="K6" s="195">
        <f>D6</f>
        <v>88000</v>
      </c>
      <c r="L6" s="196">
        <f>E6</f>
        <v>146666.6666666667</v>
      </c>
      <c r="M6" s="208"/>
      <c r="O6" s="36" t="s">
        <v>153</v>
      </c>
      <c r="P6" s="195">
        <v>0</v>
      </c>
      <c r="Q6" s="195">
        <v>0</v>
      </c>
      <c r="R6" s="195">
        <v>0</v>
      </c>
      <c r="S6" s="196">
        <v>0</v>
      </c>
    </row>
    <row r="7" spans="1:19" ht="12.75">
      <c r="A7" s="49" t="s">
        <v>154</v>
      </c>
      <c r="B7" s="195">
        <f>IF(Lookup!$E$4="Yes",'Cost Calculator'!B$19/Inputs!$B$13*2000,0)</f>
        <v>9333.333333333334</v>
      </c>
      <c r="C7" s="195">
        <f>IF(Lookup!$E$4="Yes",'Cost Calculator'!C$19/Inputs!$B$13*2000,0)</f>
        <v>28000</v>
      </c>
      <c r="D7" s="195">
        <f>IF(Lookup!$E$4="Yes",'Cost Calculator'!D$19/Inputs!$B$13*2000,0)</f>
        <v>56000</v>
      </c>
      <c r="E7" s="196">
        <f>IF(Lookup!$E$4="Yes",'Cost Calculator'!E$19/Inputs!$B$13*2000,0)</f>
        <v>93333.33333333333</v>
      </c>
      <c r="F7" s="208"/>
      <c r="G7" s="6"/>
      <c r="H7" s="49" t="s">
        <v>154</v>
      </c>
      <c r="I7" s="195">
        <v>0</v>
      </c>
      <c r="J7" s="195">
        <v>0</v>
      </c>
      <c r="K7" s="195">
        <v>0</v>
      </c>
      <c r="L7" s="196">
        <v>0</v>
      </c>
      <c r="M7" s="208"/>
      <c r="O7" s="49" t="s">
        <v>154</v>
      </c>
      <c r="P7" s="195">
        <f>IF(Lookup!$E$4="Yes",SUM(I6:I8),0)</f>
        <v>24000</v>
      </c>
      <c r="Q7" s="195">
        <f>IF(Lookup!$E$4="Yes",SUM(J6:J8),0)</f>
        <v>72000</v>
      </c>
      <c r="R7" s="195">
        <f>IF(Lookup!$E$4="Yes",SUM(K6:K8),0)</f>
        <v>144000</v>
      </c>
      <c r="S7" s="196">
        <f>IF(Lookup!$E$4="Yes",SUM(L6:L8),0)</f>
        <v>240000</v>
      </c>
    </row>
    <row r="8" spans="1:19" ht="12.75">
      <c r="A8" s="113" t="s">
        <v>155</v>
      </c>
      <c r="B8" s="195">
        <f>IF(Lookup!$E$4="No",'Cost Calculator'!B$19/VLOOKUP(Lookup!$I$9,'Cost Data'!$A$4:$C$10,3)*2000,0)</f>
        <v>0</v>
      </c>
      <c r="C8" s="195">
        <f>IF(Lookup!$E$4="No",'Cost Calculator'!C$19/VLOOKUP(Lookup!$I$9,'Cost Data'!$A$4:$C$10,3)*2000,0)</f>
        <v>0</v>
      </c>
      <c r="D8" s="195">
        <f>IF(Lookup!$E$4="No",'Cost Calculator'!D$19/VLOOKUP(Lookup!$I$9,'Cost Data'!$A$4:$C$10,3)*2000,0)</f>
        <v>0</v>
      </c>
      <c r="E8" s="196">
        <f>IF(Lookup!$E$4="No",'Cost Calculator'!E$19/VLOOKUP(Lookup!$I$9,'Cost Data'!$A$4:$C$10,3)*2000,0)</f>
        <v>0</v>
      </c>
      <c r="F8" s="208"/>
      <c r="G8" s="6"/>
      <c r="H8" s="113" t="s">
        <v>155</v>
      </c>
      <c r="I8" s="195">
        <f>B7+B8</f>
        <v>9333.333333333334</v>
      </c>
      <c r="J8" s="195">
        <f>C7+C8</f>
        <v>28000</v>
      </c>
      <c r="K8" s="195">
        <f>D7+D8</f>
        <v>56000</v>
      </c>
      <c r="L8" s="196">
        <f>E7+E8</f>
        <v>93333.33333333333</v>
      </c>
      <c r="M8" s="208"/>
      <c r="O8" s="113" t="s">
        <v>155</v>
      </c>
      <c r="P8" s="195">
        <f>IF(Lookup!$E$4="No",SUM(I6:I8),0)</f>
        <v>0</v>
      </c>
      <c r="Q8" s="195">
        <f>IF(Lookup!$E$4="No",SUM(J6:J8),0)</f>
        <v>0</v>
      </c>
      <c r="R8" s="195">
        <f>IF(Lookup!$E$4="No",SUM(K6:K8),0)</f>
        <v>0</v>
      </c>
      <c r="S8" s="196">
        <f>IF(Lookup!$E$4="No",SUM(L6:L8),0)</f>
        <v>0</v>
      </c>
    </row>
    <row r="9" spans="1:19" ht="12.75" customHeight="1">
      <c r="A9" s="204" t="s">
        <v>28</v>
      </c>
      <c r="B9" s="145" t="s">
        <v>21</v>
      </c>
      <c r="C9" s="145" t="s">
        <v>18</v>
      </c>
      <c r="D9" s="145" t="s">
        <v>19</v>
      </c>
      <c r="E9" s="147" t="s">
        <v>20</v>
      </c>
      <c r="F9" s="239"/>
      <c r="G9" s="9"/>
      <c r="H9" s="204" t="s">
        <v>28</v>
      </c>
      <c r="I9" s="145" t="s">
        <v>21</v>
      </c>
      <c r="J9" s="145" t="s">
        <v>18</v>
      </c>
      <c r="K9" s="145" t="s">
        <v>19</v>
      </c>
      <c r="L9" s="147" t="s">
        <v>20</v>
      </c>
      <c r="M9" s="239"/>
      <c r="O9" s="204" t="s">
        <v>28</v>
      </c>
      <c r="P9" s="145" t="s">
        <v>21</v>
      </c>
      <c r="Q9" s="145" t="s">
        <v>18</v>
      </c>
      <c r="R9" s="145" t="s">
        <v>19</v>
      </c>
      <c r="S9" s="147" t="s">
        <v>20</v>
      </c>
    </row>
    <row r="10" spans="1:19" ht="12.75">
      <c r="A10" s="36" t="s">
        <v>153</v>
      </c>
      <c r="B10" s="195">
        <f>(Inputs!$B$18*'Cost Data'!$D$42*2000)-(B11+B12)</f>
        <v>1500</v>
      </c>
      <c r="C10" s="195">
        <f>(Inputs!$B$19*'Cost Data'!$D$42*2000)-(C11+C12)</f>
        <v>4500</v>
      </c>
      <c r="D10" s="195">
        <f>(Inputs!$B$20*'Cost Data'!$D$42*2000)-(D11+D12)</f>
        <v>9000</v>
      </c>
      <c r="E10" s="196">
        <f>(Inputs!$B$21*'Cost Data'!$D$42*2000)-(E11+E12)</f>
        <v>15000</v>
      </c>
      <c r="F10" s="208"/>
      <c r="G10" s="9"/>
      <c r="H10" s="36" t="s">
        <v>153</v>
      </c>
      <c r="I10" s="195">
        <f>B10</f>
        <v>1500</v>
      </c>
      <c r="J10" s="195">
        <f>C10</f>
        <v>4500</v>
      </c>
      <c r="K10" s="195">
        <f>D10</f>
        <v>9000</v>
      </c>
      <c r="L10" s="196">
        <f>E10</f>
        <v>15000</v>
      </c>
      <c r="M10" s="208"/>
      <c r="O10" s="36" t="s">
        <v>153</v>
      </c>
      <c r="P10" s="195">
        <v>0</v>
      </c>
      <c r="Q10" s="195">
        <v>0</v>
      </c>
      <c r="R10" s="195">
        <v>0</v>
      </c>
      <c r="S10" s="196">
        <v>0</v>
      </c>
    </row>
    <row r="11" spans="1:19" ht="12.75">
      <c r="A11" s="49" t="s">
        <v>154</v>
      </c>
      <c r="B11" s="195">
        <f>IF(Lookup!$D$4="Yes",'Cost Calculator'!B$20/Inputs!$B$28*2000,0)</f>
        <v>1500</v>
      </c>
      <c r="C11" s="195">
        <f>IF(Lookup!$D$4="Yes",'Cost Calculator'!C$20/Inputs!$B$28*2000,0)</f>
        <v>4500</v>
      </c>
      <c r="D11" s="195">
        <f>IF(Lookup!$D$4="Yes",'Cost Calculator'!D$20/Inputs!$B$28*2000,0)</f>
        <v>9000</v>
      </c>
      <c r="E11" s="196">
        <f>IF(Lookup!$D$4="Yes",'Cost Calculator'!E$20/Inputs!$B$28*2000,0)</f>
        <v>15000</v>
      </c>
      <c r="F11" s="208"/>
      <c r="G11" s="9"/>
      <c r="H11" s="49" t="s">
        <v>154</v>
      </c>
      <c r="I11" s="195">
        <v>0</v>
      </c>
      <c r="J11" s="195">
        <v>0</v>
      </c>
      <c r="K11" s="195">
        <v>0</v>
      </c>
      <c r="L11" s="196">
        <v>0</v>
      </c>
      <c r="M11" s="208"/>
      <c r="O11" s="49" t="s">
        <v>154</v>
      </c>
      <c r="P11" s="195">
        <f>IF(Lookup!$D$4="Yes",SUM(I10:I12),0)</f>
        <v>3000</v>
      </c>
      <c r="Q11" s="195">
        <f>IF(Lookup!$D$4="Yes",SUM(J10:J12),0)</f>
        <v>9000</v>
      </c>
      <c r="R11" s="195">
        <f>IF(Lookup!$D$4="Yes",SUM(K10:K12),0)</f>
        <v>18000</v>
      </c>
      <c r="S11" s="196">
        <f>IF(Lookup!$D$4="Yes",SUM(L10:L12),0)</f>
        <v>30000</v>
      </c>
    </row>
    <row r="12" spans="1:19" ht="13.5" thickBot="1">
      <c r="A12" s="113" t="s">
        <v>155</v>
      </c>
      <c r="B12" s="197">
        <f>IF(Lookup!$D$4="No",'Cost Calculator'!B$20/VLOOKUP(Lookup!$I$9,'Cost Data'!$A$4:$C$10,3)*2000,0)</f>
        <v>0</v>
      </c>
      <c r="C12" s="197">
        <f>IF(Lookup!$D$4="No",'Cost Calculator'!C$20/VLOOKUP(Lookup!$I$9,'Cost Data'!$A$4:$C$10,3)*2000,0)</f>
        <v>0</v>
      </c>
      <c r="D12" s="197">
        <f>IF(Lookup!$D$4="No",'Cost Calculator'!D$20/VLOOKUP(Lookup!$I$9,'Cost Data'!$A$4:$C$10,3)*2000,0)</f>
        <v>0</v>
      </c>
      <c r="E12" s="198">
        <f>IF(Lookup!$D$4="No",'Cost Calculator'!E$20/VLOOKUP(Lookup!$I$9,'Cost Data'!$A$4:$C$10,3)*2000,0)</f>
        <v>0</v>
      </c>
      <c r="F12" s="208"/>
      <c r="G12" s="9"/>
      <c r="H12" s="113" t="s">
        <v>155</v>
      </c>
      <c r="I12" s="197">
        <f>B11+B12</f>
        <v>1500</v>
      </c>
      <c r="J12" s="197">
        <f>C11+C12</f>
        <v>4500</v>
      </c>
      <c r="K12" s="197">
        <f>D11+D12</f>
        <v>9000</v>
      </c>
      <c r="L12" s="198">
        <f>E11+E12</f>
        <v>15000</v>
      </c>
      <c r="M12" s="208"/>
      <c r="O12" s="113" t="s">
        <v>155</v>
      </c>
      <c r="P12" s="197">
        <f>IF(Lookup!$D$4="No",SUM(I10:I12),0)</f>
        <v>0</v>
      </c>
      <c r="Q12" s="197">
        <f>IF(Lookup!$D$4="No",SUM(J10:J12),0)</f>
        <v>0</v>
      </c>
      <c r="R12" s="197">
        <f>IF(Lookup!$D$4="No",SUM(K10:K12),0)</f>
        <v>0</v>
      </c>
      <c r="S12" s="198">
        <f>IF(Lookup!$D$4="No",SUM(L10:L12),0)</f>
        <v>0</v>
      </c>
    </row>
    <row r="13" spans="1:19" ht="13.5" hidden="1" thickBot="1">
      <c r="A13" s="168" t="s">
        <v>237</v>
      </c>
      <c r="B13" s="169"/>
      <c r="C13" s="169"/>
      <c r="D13" s="169"/>
      <c r="E13" s="170"/>
      <c r="F13" s="208"/>
      <c r="G13" s="9"/>
      <c r="H13" s="168" t="s">
        <v>237</v>
      </c>
      <c r="I13" s="169"/>
      <c r="J13" s="169"/>
      <c r="K13" s="169"/>
      <c r="L13" s="170"/>
      <c r="M13" s="208"/>
      <c r="O13" s="168" t="s">
        <v>237</v>
      </c>
      <c r="P13" s="169"/>
      <c r="Q13" s="169"/>
      <c r="R13" s="169"/>
      <c r="S13" s="170"/>
    </row>
    <row r="14" spans="1:19" ht="12.75" hidden="1">
      <c r="A14" s="114" t="s">
        <v>178</v>
      </c>
      <c r="B14" s="138">
        <f>(((B$10/2000)/'Cost Data'!$D$42)/1000)*'Env Data'!$H$14+(((B$11/2000)/'Cost Data'!$D$42)/1000)*'Env Data'!$H$24</f>
        <v>3585.615</v>
      </c>
      <c r="C14" s="138">
        <f>(((C$10/2000)/'Cost Data'!$D$42)/1000)*'Env Data'!$H$14+(((C$11/2000)/'Cost Data'!$D$42)/1000)*'Env Data'!$H$24</f>
        <v>10756.845000000001</v>
      </c>
      <c r="D14" s="138">
        <f>(((D$10/2000)/'Cost Data'!$D$42)/1000)*'Env Data'!$H$14+(((D$11/2000)/'Cost Data'!$D$42)/1000)*'Env Data'!$H$24</f>
        <v>21513.690000000002</v>
      </c>
      <c r="E14" s="138">
        <f>(((E$10/2000)/'Cost Data'!$D$42)/1000)*'Env Data'!$H$14+(((E$11/2000)/'Cost Data'!$D$42)/1000)*'Env Data'!$H$24</f>
        <v>35856.15</v>
      </c>
      <c r="F14" s="208"/>
      <c r="G14" s="9"/>
      <c r="H14" s="114" t="s">
        <v>157</v>
      </c>
      <c r="I14" s="138">
        <f>(((I$10/2000)/'Cost Data'!$D$42)/1000)*'Env Data'!$H$14</f>
        <v>1799.25</v>
      </c>
      <c r="J14" s="138">
        <f>(((J$10/2000)/'Cost Data'!$D$42)/1000)*'Env Data'!$H$14</f>
        <v>5397.75</v>
      </c>
      <c r="K14" s="138">
        <f>(((K$10/2000)/'Cost Data'!$D$42)/1000)*'Env Data'!$H$14</f>
        <v>10795.5</v>
      </c>
      <c r="L14" s="144">
        <f>(((L$10/2000)/'Cost Data'!$D$42)/1000)*'Env Data'!$H$14</f>
        <v>17992.5</v>
      </c>
      <c r="M14" s="208"/>
      <c r="O14" s="114" t="s">
        <v>157</v>
      </c>
      <c r="P14" s="138">
        <f>(((P$11/2000)/'Cost Data'!$D$42)/1000)*'Env Data'!$H$24</f>
        <v>3572.73</v>
      </c>
      <c r="Q14" s="138">
        <f>(((Q$11/2000)/'Cost Data'!$D$42)/1000)*'Env Data'!$H$24</f>
        <v>10718.19</v>
      </c>
      <c r="R14" s="138">
        <f>(((R$11/2000)/'Cost Data'!$D$42)/1000)*'Env Data'!$H$24</f>
        <v>21436.38</v>
      </c>
      <c r="S14" s="138">
        <f>(((S$11/2000)/'Cost Data'!$D$42)/1000)*'Env Data'!$H$24</f>
        <v>35727.3</v>
      </c>
    </row>
    <row r="15" spans="1:19" ht="25.5" customHeight="1" hidden="1">
      <c r="A15" s="152" t="s">
        <v>242</v>
      </c>
      <c r="B15" s="139">
        <f>(((B$10/2000)/'Cost Data'!$D$42)/1000)*('Env Data'!$G$14*'Cost Data'!$D$40*'Cost Data'!$D$46)+(((B$11/2000)/'Cost Data'!$D$42)/1000)*('Env Data'!$G$24*'Cost Data'!$D$40*'Cost Data'!$D$46)</f>
        <v>8135.635852986909</v>
      </c>
      <c r="C15" s="139">
        <f>(((C$10/2000)/'Cost Data'!$D$42)/1000)*('Env Data'!$G$14*'Cost Data'!$D$40*'Cost Data'!$D$46)+(((C$11/2000)/'Cost Data'!$D$42)/1000)*('Env Data'!$G$24*'Cost Data'!$D$40*'Cost Data'!$D$46)</f>
        <v>24406.90755896073</v>
      </c>
      <c r="D15" s="139">
        <f>(((D$10/2000)/'Cost Data'!$D$42)/1000)*('Env Data'!$G$14*'Cost Data'!$D$40*'Cost Data'!$D$46)+(((D$11/2000)/'Cost Data'!$D$42)/1000)*('Env Data'!$G$24*'Cost Data'!$D$40*'Cost Data'!$D$46)</f>
        <v>48813.81511792146</v>
      </c>
      <c r="E15" s="139">
        <f>(((E$10/2000)/'Cost Data'!$D$42)/1000)*('Env Data'!$G$14*'Cost Data'!$D$40*'Cost Data'!$D$46)+(((E$11/2000)/'Cost Data'!$D$42)/1000)*('Env Data'!$G$24*'Cost Data'!$D$40*'Cost Data'!$D$46)</f>
        <v>81356.35852986909</v>
      </c>
      <c r="F15" s="208"/>
      <c r="G15" s="9"/>
      <c r="H15" s="152" t="s">
        <v>242</v>
      </c>
      <c r="I15" s="139">
        <f>(((I$10/2000)/'Cost Data'!$D$42)/1000)*('Env Data'!$G$14*'Cost Data'!$D$40*'Cost Data'!$D$46)</f>
        <v>4084.6465261460003</v>
      </c>
      <c r="J15" s="139">
        <f>(((J$10/2000)/'Cost Data'!$D$42)/1000)*('Env Data'!$G$14*'Cost Data'!$D$40*'Cost Data'!$D$46)</f>
        <v>12253.939578438001</v>
      </c>
      <c r="K15" s="139">
        <f>(((K$10/2000)/'Cost Data'!$D$42)/1000)*('Env Data'!$G$14*'Cost Data'!$D$40*'Cost Data'!$D$46)</f>
        <v>24507.879156876003</v>
      </c>
      <c r="L15" s="139">
        <f>(((L$10/2000)/'Cost Data'!$D$42)/1000)*('Env Data'!$G$14*'Cost Data'!$D$40*'Cost Data'!$D$46)</f>
        <v>40846.465261460005</v>
      </c>
      <c r="M15" s="139">
        <f>(((M$10/2000)/'Cost Data'!$D$42)/1000)*('Env Data'!$G$14*'Cost Data'!$D$40*'Cost Data'!$D$46)</f>
        <v>0</v>
      </c>
      <c r="O15" s="152" t="s">
        <v>242</v>
      </c>
      <c r="P15" s="139">
        <f>(((P$11/2000)/'Cost Data'!$D$42)/1000)*('Env Data'!$G$24*'Cost Data'!$D$40*'Cost Data'!$D$46)</f>
        <v>8101.978653681818</v>
      </c>
      <c r="Q15" s="139">
        <f>(((Q$11/2000)/'Cost Data'!$D$42)/1000)*('Env Data'!$G$24*'Cost Data'!$D$40*'Cost Data'!$D$46)</f>
        <v>24305.935961045456</v>
      </c>
      <c r="R15" s="139">
        <f>(((R$11/2000)/'Cost Data'!$D$42)/1000)*('Env Data'!$G$24*'Cost Data'!$D$40*'Cost Data'!$D$46)</f>
        <v>48611.87192209091</v>
      </c>
      <c r="S15" s="139">
        <f>(((S$11/2000)/'Cost Data'!$D$42)/1000)*('Env Data'!$G$24*'Cost Data'!$D$40*'Cost Data'!$D$46)</f>
        <v>81019.78653681818</v>
      </c>
    </row>
    <row r="16" spans="1:19" ht="12.75" hidden="1">
      <c r="A16" s="36" t="s">
        <v>179</v>
      </c>
      <c r="B16" s="139">
        <f>(((B$10/2000)/'Cost Data'!$D$42)/1000)*'Env Data'!$B$14*1000+(((B$11/2000)/'Cost Data'!$D$42)/1000)*'Env Data'!$B$24*1000</f>
        <v>1324.3508438038648</v>
      </c>
      <c r="C16" s="139">
        <f>(((C$10/2000)/'Cost Data'!$D$42)/1000)*'Env Data'!$B$14*1000+(((C$11/2000)/'Cost Data'!$D$42)/1000)*'Env Data'!$B$24*1000</f>
        <v>3973.0525314115944</v>
      </c>
      <c r="D16" s="139">
        <f>(((D$10/2000)/'Cost Data'!$D$42)/1000)*'Env Data'!$B$14*1000+(((D$11/2000)/'Cost Data'!$D$42)/1000)*'Env Data'!$B$24*1000</f>
        <v>7946.105062823189</v>
      </c>
      <c r="E16" s="139">
        <f>(((E$10/2000)/'Cost Data'!$D$42)/1000)*'Env Data'!$B$14*1000+(((E$11/2000)/'Cost Data'!$D$42)/1000)*'Env Data'!$B$24*1000</f>
        <v>13243.508438038649</v>
      </c>
      <c r="F16" s="208"/>
      <c r="G16" s="9"/>
      <c r="H16" s="36" t="s">
        <v>179</v>
      </c>
      <c r="I16" s="139">
        <f>(((I$10/2000)/'Cost Data'!$D$42)/1000)*'Env Data'!$B$14*1000</f>
        <v>1323.5600000000002</v>
      </c>
      <c r="J16" s="139">
        <f>(((J$10/2000)/'Cost Data'!$D$42)/1000)*'Env Data'!$B$14*1000</f>
        <v>3970.6800000000003</v>
      </c>
      <c r="K16" s="139">
        <f>(((K$10/2000)/'Cost Data'!$D$42)/1000)*'Env Data'!$B$14*1000</f>
        <v>7941.360000000001</v>
      </c>
      <c r="L16" s="149">
        <f>(((L$10/2000)/'Cost Data'!$D$42)/1000)*'Env Data'!$B$14*1000</f>
        <v>13235.600000000002</v>
      </c>
      <c r="M16" s="208"/>
      <c r="O16" s="36" t="s">
        <v>179</v>
      </c>
      <c r="P16" s="139">
        <f>(((P$11/2000)/'Cost Data'!$D$42)/1000)*'Env Data'!$B$24*1000</f>
        <v>1.5816876077292945</v>
      </c>
      <c r="Q16" s="139">
        <f>(((Q$11/2000)/'Cost Data'!$D$42)/1000)*'Env Data'!$B$24*1000</f>
        <v>4.745062823187884</v>
      </c>
      <c r="R16" s="139">
        <f>(((R$11/2000)/'Cost Data'!$D$42)/1000)*'Env Data'!$B$24*1000</f>
        <v>9.490125646375768</v>
      </c>
      <c r="S16" s="139">
        <f>(((S$11/2000)/'Cost Data'!$D$42)/1000)*'Env Data'!$B$24*1000</f>
        <v>15.816876077292944</v>
      </c>
    </row>
    <row r="17" spans="1:19" ht="12.75" hidden="1">
      <c r="A17" s="36" t="s">
        <v>212</v>
      </c>
      <c r="B17" s="139">
        <f>(((B$10/2000)/'Cost Data'!$D$42)/1000)*'Env Data'!$C$14*1000+(((B$11/2000)/'Cost Data'!$D$42)/1000)*'Env Data'!$C$24*1000</f>
        <v>232.0615328177447</v>
      </c>
      <c r="C17" s="139">
        <f>(((C$10/2000)/'Cost Data'!$D$42)/1000)*'Env Data'!$C$14*1000+(((C$11/2000)/'Cost Data'!$D$42)/1000)*'Env Data'!$C$24*1000</f>
        <v>696.1845984532341</v>
      </c>
      <c r="D17" s="139">
        <f>(((D$10/2000)/'Cost Data'!$D$42)/1000)*'Env Data'!$C$14*1000+(((D$11/2000)/'Cost Data'!$D$42)/1000)*'Env Data'!$C$24*1000</f>
        <v>1392.3691969064682</v>
      </c>
      <c r="E17" s="139">
        <f>(((E$10/2000)/'Cost Data'!$D$42)/1000)*'Env Data'!$C$14*1000+(((E$11/2000)/'Cost Data'!$D$42)/1000)*'Env Data'!$C$24*1000</f>
        <v>2320.6153281774473</v>
      </c>
      <c r="F17" s="208"/>
      <c r="G17" s="9"/>
      <c r="H17" s="36" t="s">
        <v>235</v>
      </c>
      <c r="I17" s="139">
        <f>(((I$10/2000)/'Cost Data'!$D$42)/1000)*'Env Data'!$C$14*1000</f>
        <v>231.42499999999998</v>
      </c>
      <c r="J17" s="139">
        <f>(((J$10/2000)/'Cost Data'!$D$42)/1000)*'Env Data'!$C$14*1000</f>
        <v>694.275</v>
      </c>
      <c r="K17" s="139">
        <f>(((K$10/2000)/'Cost Data'!$D$42)/1000)*'Env Data'!$C$14*1000</f>
        <v>1388.55</v>
      </c>
      <c r="L17" s="139">
        <f>(((L$10/2000)/'Cost Data'!$D$42)/1000)*'Env Data'!$C$14*1000</f>
        <v>2314.25</v>
      </c>
      <c r="M17" s="208"/>
      <c r="O17" s="36" t="s">
        <v>235</v>
      </c>
      <c r="P17" s="139">
        <f>(((P$11/2000)/'Cost Data'!$D$42)/1000)*'Env Data'!$C$24*1000</f>
        <v>1.2730656354894299</v>
      </c>
      <c r="Q17" s="139">
        <f>(((Q$11/2000)/'Cost Data'!$D$42)/1000)*'Env Data'!$C$24*1000</f>
        <v>3.8191969064682896</v>
      </c>
      <c r="R17" s="139">
        <f>(((R$11/2000)/'Cost Data'!$D$42)/1000)*'Env Data'!$C$24*1000</f>
        <v>7.638393812936579</v>
      </c>
      <c r="S17" s="139">
        <f>(((S$11/2000)/'Cost Data'!$D$42)/1000)*'Env Data'!$C$24*1000</f>
        <v>12.730656354894299</v>
      </c>
    </row>
    <row r="18" spans="1:19" ht="15.75" hidden="1">
      <c r="A18" s="36" t="s">
        <v>340</v>
      </c>
      <c r="B18" s="139">
        <f>(((B$10/2000)/'Cost Data'!$D$42)/1000)*'Env Data'!$D$14*1000+(((B$11/2000)/'Cost Data'!$D$42)/1000)*'Env Data'!$D$24*1000</f>
        <v>535.3469971876985</v>
      </c>
      <c r="C18" s="139">
        <f>(((C$10/2000)/'Cost Data'!$D$42)/1000)*'Env Data'!$D$14*1000+(((C$11/2000)/'Cost Data'!$D$42)/1000)*'Env Data'!$D$24*1000</f>
        <v>1606.0409915630955</v>
      </c>
      <c r="D18" s="139">
        <f>(((D$10/2000)/'Cost Data'!$D$42)/1000)*'Env Data'!$D$14*1000+(((D$11/2000)/'Cost Data'!$D$42)/1000)*'Env Data'!$D$24*1000</f>
        <v>3212.081983126191</v>
      </c>
      <c r="E18" s="139">
        <f>(((E$10/2000)/'Cost Data'!$D$42)/1000)*'Env Data'!$D$14*1000+(((E$11/2000)/'Cost Data'!$D$42)/1000)*'Env Data'!$D$24*1000</f>
        <v>5353.469971876986</v>
      </c>
      <c r="F18" s="208"/>
      <c r="G18" s="9"/>
      <c r="H18" s="36" t="s">
        <v>340</v>
      </c>
      <c r="I18" s="139">
        <f>(((I$10/2000)/'Cost Data'!$D$42)/1000)*'Env Data'!$D$14*1000</f>
        <v>531.8750000000001</v>
      </c>
      <c r="J18" s="139">
        <f>(((J$10/2000)/'Cost Data'!$D$42)/1000)*'Env Data'!$D$14*1000</f>
        <v>1595.6250000000002</v>
      </c>
      <c r="K18" s="139">
        <f>(((K$10/2000)/'Cost Data'!$D$42)/1000)*'Env Data'!$D$14*1000</f>
        <v>3191.2500000000005</v>
      </c>
      <c r="L18" s="139">
        <f>(((L$10/2000)/'Cost Data'!$D$42)/1000)*'Env Data'!$D$14*1000</f>
        <v>5318.750000000002</v>
      </c>
      <c r="M18" s="208"/>
      <c r="O18" s="36" t="s">
        <v>340</v>
      </c>
      <c r="P18" s="139">
        <f>(((P$11/2000)/'Cost Data'!$D$42)/1000)*'Env Data'!$D$24*1000</f>
        <v>6.943994375396887</v>
      </c>
      <c r="Q18" s="139">
        <f>(((Q$11/2000)/'Cost Data'!$D$42)/1000)*'Env Data'!$D$24*1000</f>
        <v>20.83198312619066</v>
      </c>
      <c r="R18" s="139">
        <f>(((R$11/2000)/'Cost Data'!$D$42)/1000)*'Env Data'!$D$24*1000</f>
        <v>41.66396625238132</v>
      </c>
      <c r="S18" s="139">
        <f>(((S$11/2000)/'Cost Data'!$D$42)/1000)*'Env Data'!$D$24*1000</f>
        <v>69.43994375396886</v>
      </c>
    </row>
    <row r="19" spans="1:19" ht="15.75" hidden="1">
      <c r="A19" s="36" t="s">
        <v>338</v>
      </c>
      <c r="B19" s="139">
        <f>(((B$10/2000)/'Cost Data'!$D$42)/1000)*'Env Data'!$E$14*1000+(((B$11/2000)/'Cost Data'!$D$42)/1000)*'Env Data'!$E$24*1000</f>
        <v>593.1743552118298</v>
      </c>
      <c r="C19" s="139">
        <f>(((C$10/2000)/'Cost Data'!$D$42)/1000)*'Env Data'!$E$14*1000+(((C$11/2000)/'Cost Data'!$D$42)/1000)*'Env Data'!$E$24*1000</f>
        <v>1779.5230656354895</v>
      </c>
      <c r="D19" s="139">
        <f>(((D$10/2000)/'Cost Data'!$D$42)/1000)*'Env Data'!$E$14*1000+(((D$11/2000)/'Cost Data'!$D$42)/1000)*'Env Data'!$E$24*1000</f>
        <v>3559.046131270979</v>
      </c>
      <c r="E19" s="139">
        <f>(((E$10/2000)/'Cost Data'!$D$42)/1000)*'Env Data'!$E$14*1000+(((E$11/2000)/'Cost Data'!$D$42)/1000)*'Env Data'!$E$24*1000</f>
        <v>5931.743552118298</v>
      </c>
      <c r="F19" s="139">
        <f>(((F$10/2000)/'Cost Data'!$D$42)/1000)*'Env Data'!$E$14*1000+(((F$11/2000)/'Cost Data'!$D$42)/1000)*'Env Data'!$E$24*1000</f>
        <v>0</v>
      </c>
      <c r="G19" s="9"/>
      <c r="H19" s="36" t="s">
        <v>338</v>
      </c>
      <c r="I19" s="139">
        <f>(((I$10/2000)/'Cost Data'!$D$42)/1000)*'Env Data'!$E$14*1000</f>
        <v>592.75</v>
      </c>
      <c r="J19" s="139">
        <f>(((J$10/2000)/'Cost Data'!$D$42)/1000)*'Env Data'!$E$14*1000</f>
        <v>1778.25</v>
      </c>
      <c r="K19" s="139">
        <f>(((K$10/2000)/'Cost Data'!$D$42)/1000)*'Env Data'!$E$14*1000</f>
        <v>3556.5</v>
      </c>
      <c r="L19" s="139">
        <f>(((L$10/2000)/'Cost Data'!$D$42)/1000)*'Env Data'!$E$14*1000</f>
        <v>5927.5</v>
      </c>
      <c r="M19" s="208"/>
      <c r="O19" s="36" t="s">
        <v>338</v>
      </c>
      <c r="P19" s="139">
        <f>(((P$11/2000)/'Cost Data'!$D$42)/1000)*'Env Data'!$E$24*1000</f>
        <v>0.8487104236596205</v>
      </c>
      <c r="Q19" s="139">
        <f>(((Q$11/2000)/'Cost Data'!$D$42)/1000)*'Env Data'!$E$24*1000</f>
        <v>2.5461312709788615</v>
      </c>
      <c r="R19" s="139">
        <f>(((R$11/2000)/'Cost Data'!$D$42)/1000)*'Env Data'!$E$24*1000</f>
        <v>5.092262541957723</v>
      </c>
      <c r="S19" s="139">
        <f>(((S$11/2000)/'Cost Data'!$D$42)/1000)*'Env Data'!$E$24*1000</f>
        <v>8.487104236596204</v>
      </c>
    </row>
    <row r="20" spans="1:19" ht="13.5" hidden="1" thickBot="1">
      <c r="A20" s="166" t="s">
        <v>174</v>
      </c>
      <c r="B20" s="167">
        <f>(((SUM(B$10)/2000)/'Cost Data'!$D$42)/1000)*'Env Data'!$F$14*1000+(((SUM(B$11)/2000)/'Cost Data'!$D$42)/1000)*'Env Data'!$F$24*1000</f>
        <v>47.543994375396885</v>
      </c>
      <c r="C20" s="167">
        <f>(((SUM(C$10)/2000)/'Cost Data'!$D$42)/1000)*'Env Data'!$F$14*1000+(((SUM(C$11)/2000)/'Cost Data'!$D$42)/1000)*'Env Data'!$F$24*1000</f>
        <v>142.63198312619068</v>
      </c>
      <c r="D20" s="167">
        <f>(((SUM(D$10)/2000)/'Cost Data'!$D$42)/1000)*'Env Data'!$F$14*1000+(((SUM(D$11)/2000)/'Cost Data'!$D$42)/1000)*'Env Data'!$F$24*1000</f>
        <v>285.26396625238135</v>
      </c>
      <c r="E20" s="167">
        <f>(((SUM(E$10)/2000)/'Cost Data'!$D$42)/1000)*'Env Data'!$F$14*1000+(((SUM(E$11)/2000)/'Cost Data'!$D$42)/1000)*'Env Data'!$F$24*1000</f>
        <v>475.4399437539689</v>
      </c>
      <c r="F20" s="208"/>
      <c r="G20" s="9"/>
      <c r="H20" s="166" t="s">
        <v>174</v>
      </c>
      <c r="I20" s="167">
        <f>(((SUM(I$10)/2000)/'Cost Data'!$D$42)/1000)*'Env Data'!$F$14*1000</f>
        <v>40.599999999999994</v>
      </c>
      <c r="J20" s="167">
        <f>(((SUM(J$10)/2000)/'Cost Data'!$D$42)/1000)*'Env Data'!$F$14*1000</f>
        <v>121.8</v>
      </c>
      <c r="K20" s="167">
        <f>(((SUM(K$10)/2000)/'Cost Data'!$D$42)/1000)*'Env Data'!$F$14*1000</f>
        <v>243.6</v>
      </c>
      <c r="L20" s="167">
        <f>(((SUM(L$10)/2000)/'Cost Data'!$D$42)/1000)*'Env Data'!$F$14*1000</f>
        <v>406</v>
      </c>
      <c r="M20" s="167">
        <f>(((SUM(M$10)/2000)/'Cost Data'!$D$42)/1000)*'Env Data'!$F$14*1000</f>
        <v>0</v>
      </c>
      <c r="O20" s="166" t="s">
        <v>158</v>
      </c>
      <c r="P20" s="167">
        <f>(((SUM(P$11)/2000)/'Cost Data'!$D$42)/1000)*'Env Data'!$F$24*1000</f>
        <v>13.887988750793786</v>
      </c>
      <c r="Q20" s="167">
        <f>(((SUM(Q$11)/2000)/'Cost Data'!$D$42)/1000)*'Env Data'!$F$24*1000</f>
        <v>41.663966252381364</v>
      </c>
      <c r="R20" s="167">
        <f>(((SUM(R$11)/2000)/'Cost Data'!$D$42)/1000)*'Env Data'!$F$24*1000</f>
        <v>83.32793250476273</v>
      </c>
      <c r="S20" s="167">
        <f>(((SUM(S$11)/2000)/'Cost Data'!$D$42)/1000)*'Env Data'!$F$24*1000</f>
        <v>138.87988750793787</v>
      </c>
    </row>
    <row r="21" spans="1:19" ht="13.5" hidden="1" thickBot="1">
      <c r="A21" s="173" t="s">
        <v>238</v>
      </c>
      <c r="B21" s="174"/>
      <c r="C21" s="174"/>
      <c r="D21" s="174"/>
      <c r="E21" s="175"/>
      <c r="F21" s="240"/>
      <c r="G21" s="9"/>
      <c r="H21" s="173" t="s">
        <v>238</v>
      </c>
      <c r="I21" s="174"/>
      <c r="J21" s="174"/>
      <c r="K21" s="174"/>
      <c r="L21" s="175"/>
      <c r="M21" s="240"/>
      <c r="O21" s="173" t="s">
        <v>238</v>
      </c>
      <c r="P21" s="174"/>
      <c r="Q21" s="174"/>
      <c r="R21" s="174"/>
      <c r="S21" s="175"/>
    </row>
    <row r="22" spans="1:19" ht="25.5" hidden="1">
      <c r="A22" s="152" t="s">
        <v>242</v>
      </c>
      <c r="B22" s="138">
        <f>ROUNDUP(((B$10/2000)/Inputs!$B$35)/'Env Data'!$H$32,0)*'Env Data'!$G$32/1000*'Cost Data'!$D$46*Inputs!$B$34*Inputs!$B$35</f>
        <v>185.803688</v>
      </c>
      <c r="C22" s="138">
        <f>ROUNDUP(((C$10/2000)/Inputs!$B$36)/'Env Data'!$H$32,0)*'Env Data'!$G$32/1000*'Cost Data'!$D$46*Inputs!$B$34*Inputs!$B$36</f>
        <v>557.411064</v>
      </c>
      <c r="D22" s="138">
        <f>ROUNDUP(((D$10/2000)/Inputs!$B$37)/'Env Data'!$H$32,0)*'Env Data'!$G$32/1000*'Cost Data'!$D$46*Inputs!$B$34*Inputs!$B$37</f>
        <v>1114.822128</v>
      </c>
      <c r="E22" s="144">
        <f>ROUNDUP(((E$10/2000)/Inputs!$B$38)/'Env Data'!$H$32,0)*'Env Data'!$G$32/1000*'Cost Data'!$D$46*Inputs!$B$34*Inputs!$B$38</f>
        <v>1858.0368799999999</v>
      </c>
      <c r="F22" s="208"/>
      <c r="G22" s="9"/>
      <c r="H22" s="152" t="s">
        <v>242</v>
      </c>
      <c r="I22" s="138">
        <f>ROUNDUP(((I$10/2000)/Inputs!$B$35)/'Env Data'!$H$32,0)*'Env Data'!$G$32/1000*'Cost Data'!$D$46*Inputs!$B$34*Inputs!$B$35</f>
        <v>185.803688</v>
      </c>
      <c r="J22" s="138">
        <f>ROUNDUP(((J$10/2000)/Inputs!$B$36)/'Env Data'!$H$32,0)*'Env Data'!$G$32/1000*'Cost Data'!$D$46*Inputs!$B$34*Inputs!$B$36</f>
        <v>557.411064</v>
      </c>
      <c r="K22" s="138">
        <f>ROUNDUP(((K$10/2000)/Inputs!$B$37)/'Env Data'!$H$32,0)*'Env Data'!$G$32/1000*'Cost Data'!$D$46*Inputs!$B$34*Inputs!$B$37</f>
        <v>1114.822128</v>
      </c>
      <c r="L22" s="144">
        <f>ROUNDUP(((L$10/2000)/Inputs!$B$38)/'Env Data'!$H$32,0)*'Env Data'!$G$32/1000*'Cost Data'!$D$46*Inputs!$B$34*Inputs!$B$38</f>
        <v>1858.0368799999999</v>
      </c>
      <c r="M22" s="208"/>
      <c r="O22" s="152" t="s">
        <v>242</v>
      </c>
      <c r="P22" s="389"/>
      <c r="Q22" s="390"/>
      <c r="R22" s="390"/>
      <c r="S22" s="391"/>
    </row>
    <row r="23" spans="1:19" ht="12.75" hidden="1">
      <c r="A23" s="36" t="s">
        <v>179</v>
      </c>
      <c r="B23" s="141">
        <f>ROUNDUP(((B$10/2000)/Inputs!$B$35)/'Env Data'!$H$32,0)*'Env Data'!$B$32*Inputs!$B$34*Inputs!$B$35</f>
        <v>289.2</v>
      </c>
      <c r="C23" s="141">
        <f>ROUNDUP(((C$10/2000)/Inputs!$B$36)/'Env Data'!$H$32,0)*'Env Data'!$B$32*Inputs!$B$34*Inputs!$B$36</f>
        <v>867.5999999999999</v>
      </c>
      <c r="D23" s="141">
        <f>ROUNDUP(((D$10/2000)/Inputs!$B$37)/'Env Data'!$H$32,0)*'Env Data'!$B$32*Inputs!$B$34*Inputs!$B$37</f>
        <v>1735.1999999999998</v>
      </c>
      <c r="E23" s="143">
        <f>ROUNDUP(((E$10/2000)/Inputs!$B$38)/'Env Data'!$H$32,0)*'Env Data'!$B$32*Inputs!$B$34*Inputs!$B$38</f>
        <v>2892</v>
      </c>
      <c r="F23" s="208"/>
      <c r="G23" s="9"/>
      <c r="H23" s="36" t="s">
        <v>179</v>
      </c>
      <c r="I23" s="141">
        <f>ROUNDUP(((I$10/2000)/Inputs!$B$35)/'Env Data'!$H$32,0)*'Env Data'!$B$32*Inputs!$B$34*Inputs!$B$35</f>
        <v>289.2</v>
      </c>
      <c r="J23" s="141">
        <f>ROUNDUP(((J$10/2000)/Inputs!$B$36)/'Env Data'!$H$32,0)*'Env Data'!$B$32*Inputs!$B$34*Inputs!$B$36</f>
        <v>867.5999999999999</v>
      </c>
      <c r="K23" s="141">
        <f>ROUNDUP(((K$10/2000)/Inputs!$B$37)/'Env Data'!$H$32,0)*'Env Data'!$B$32*Inputs!$B$34*Inputs!$B$37</f>
        <v>1735.1999999999998</v>
      </c>
      <c r="L23" s="143">
        <f>ROUNDUP(((L$10/2000)/Inputs!$B$38)/'Env Data'!$H$32,0)*'Env Data'!$B$32*Inputs!$B$34*Inputs!$B$38</f>
        <v>2892</v>
      </c>
      <c r="M23" s="208"/>
      <c r="O23" s="36" t="s">
        <v>179</v>
      </c>
      <c r="P23" s="392"/>
      <c r="Q23" s="392"/>
      <c r="R23" s="392"/>
      <c r="S23" s="393"/>
    </row>
    <row r="24" spans="1:19" ht="12.75" hidden="1">
      <c r="A24" s="36" t="s">
        <v>212</v>
      </c>
      <c r="B24" s="141">
        <f>ROUNDUP(((B$10/2000)/Inputs!$B$35)/'Env Data'!$H$32,0)*'Env Data'!$C$32*Inputs!$B$34*Inputs!$B$35</f>
        <v>50.449999999999996</v>
      </c>
      <c r="C24" s="141">
        <f>ROUNDUP(((C$10/2000)/Inputs!$B$36)/'Env Data'!$H$32,0)*'Env Data'!$C$32*Inputs!$B$34*Inputs!$B$36</f>
        <v>151.35</v>
      </c>
      <c r="D24" s="141">
        <f>ROUNDUP(((D$10/2000)/Inputs!$B$37)/'Env Data'!$H$32,0)*'Env Data'!$C$32*Inputs!$B$34*Inputs!$B$37</f>
        <v>302.7</v>
      </c>
      <c r="E24" s="143">
        <f>ROUNDUP(((E$10/2000)/Inputs!$B$38)/'Env Data'!$H$32,0)*'Env Data'!$C$32*Inputs!$B$34*Inputs!$B$38</f>
        <v>504.49999999999994</v>
      </c>
      <c r="F24" s="208"/>
      <c r="G24" s="9"/>
      <c r="H24" s="36" t="s">
        <v>212</v>
      </c>
      <c r="I24" s="141">
        <f>ROUNDUP(((I$10/2000)/Inputs!$B$35)/'Env Data'!$H$32,0)*'Env Data'!$C$32*Inputs!$B$34*Inputs!$B$35</f>
        <v>50.449999999999996</v>
      </c>
      <c r="J24" s="141">
        <f>ROUNDUP(((J$10/2000)/Inputs!$B$36)/'Env Data'!$H$32,0)*'Env Data'!$C$32*Inputs!$B$34*Inputs!$B$36</f>
        <v>151.35</v>
      </c>
      <c r="K24" s="141">
        <f>ROUNDUP(((K$10/2000)/Inputs!$B$37)/'Env Data'!$H$32,0)*'Env Data'!$C$32*Inputs!$B$34*Inputs!$B$37</f>
        <v>302.7</v>
      </c>
      <c r="L24" s="143">
        <f>ROUNDUP(((L$10/2000)/Inputs!$B$38)/'Env Data'!$H$32,0)*'Env Data'!$C$32*Inputs!$B$34*Inputs!$B$38</f>
        <v>504.49999999999994</v>
      </c>
      <c r="M24" s="208"/>
      <c r="O24" s="36" t="s">
        <v>212</v>
      </c>
      <c r="P24" s="392"/>
      <c r="Q24" s="392"/>
      <c r="R24" s="392"/>
      <c r="S24" s="393"/>
    </row>
    <row r="25" spans="1:19" ht="15.75" hidden="1">
      <c r="A25" s="36" t="s">
        <v>340</v>
      </c>
      <c r="B25" s="141">
        <f>ROUNDUP(((B$10/2000)/Inputs!$B$35)/'Env Data'!$H$32,0)*'Env Data'!$D$32*Inputs!$B$34*Inputs!$B$35</f>
        <v>1235.75</v>
      </c>
      <c r="C25" s="141">
        <f>ROUNDUP(((C$10/2000)/Inputs!$B$36)/'Env Data'!$H$32,0)*'Env Data'!$D$32*Inputs!$B$34*Inputs!$B$36</f>
        <v>3707.25</v>
      </c>
      <c r="D25" s="141">
        <f>ROUNDUP(((D$10/2000)/Inputs!$B$37)/'Env Data'!$H$32,0)*'Env Data'!$D$32*Inputs!$B$34*Inputs!$B$37</f>
        <v>7414.5</v>
      </c>
      <c r="E25" s="143">
        <f>ROUNDUP(((E$10/2000)/Inputs!$B$38)/'Env Data'!$H$32,0)*'Env Data'!$D$32*Inputs!$B$34*Inputs!$B$38</f>
        <v>12357.5</v>
      </c>
      <c r="F25" s="208"/>
      <c r="G25" s="9"/>
      <c r="H25" s="36" t="s">
        <v>340</v>
      </c>
      <c r="I25" s="141">
        <f>ROUNDUP(((I$10/2000)/Inputs!$B$35)/'Env Data'!$H$32,0)*'Env Data'!$D$32*Inputs!$B$34*Inputs!$B$35</f>
        <v>1235.75</v>
      </c>
      <c r="J25" s="141">
        <f>ROUNDUP(((J$10/2000)/Inputs!$B$36)/'Env Data'!$H$32,0)*'Env Data'!$D$32*Inputs!$B$34*Inputs!$B$36</f>
        <v>3707.25</v>
      </c>
      <c r="K25" s="141">
        <f>ROUNDUP(((K$10/2000)/Inputs!$B$37)/'Env Data'!$H$32,0)*'Env Data'!$D$32*Inputs!$B$34*Inputs!$B$37</f>
        <v>7414.5</v>
      </c>
      <c r="L25" s="143">
        <f>ROUNDUP(((L$10/2000)/Inputs!$B$38)/'Env Data'!$H$32,0)*'Env Data'!$D$32*Inputs!$B$34*Inputs!$B$38</f>
        <v>12357.5</v>
      </c>
      <c r="M25" s="208"/>
      <c r="O25" s="36" t="s">
        <v>340</v>
      </c>
      <c r="P25" s="392"/>
      <c r="Q25" s="392"/>
      <c r="R25" s="392"/>
      <c r="S25" s="393"/>
    </row>
    <row r="26" spans="1:19" ht="15.75" hidden="1">
      <c r="A26" s="36" t="s">
        <v>338</v>
      </c>
      <c r="B26" s="141">
        <f>ROUNDUP(((B$10/2000)/Inputs!$B$35)/'Env Data'!$H$32,0)*'Env Data'!$E$32*Inputs!$B$34*Inputs!$B$35</f>
        <v>18.325</v>
      </c>
      <c r="C26" s="141">
        <f>ROUNDUP(((C$10/2000)/Inputs!$B$36)/'Env Data'!$H$32,0)*'Env Data'!$E$32*Inputs!$B$34*Inputs!$B$36</f>
        <v>54.974999999999994</v>
      </c>
      <c r="D26" s="141">
        <f>ROUNDUP(((D$10/2000)/Inputs!$B$37)/'Env Data'!$H$32,0)*'Env Data'!$E$32*Inputs!$B$34*Inputs!$B$37</f>
        <v>109.94999999999999</v>
      </c>
      <c r="E26" s="143">
        <f>ROUNDUP(((E$10/2000)/Inputs!$B$38)/'Env Data'!$H$32,0)*'Env Data'!$E$32*Inputs!$B$34*Inputs!$B$38</f>
        <v>183.25</v>
      </c>
      <c r="F26" s="208"/>
      <c r="G26" s="9"/>
      <c r="H26" s="36" t="s">
        <v>338</v>
      </c>
      <c r="I26" s="141">
        <f>ROUNDUP(((I$10/2000)/Inputs!$B$35)/'Env Data'!$H$32,0)*'Env Data'!$E$32*Inputs!$B$34*Inputs!$B$35</f>
        <v>18.325</v>
      </c>
      <c r="J26" s="141">
        <f>ROUNDUP(((J$10/2000)/Inputs!$B$36)/'Env Data'!$H$32,0)*'Env Data'!$E$32*Inputs!$B$34*Inputs!$B$36</f>
        <v>54.974999999999994</v>
      </c>
      <c r="K26" s="141">
        <f>ROUNDUP(((K$10/2000)/Inputs!$B$37)/'Env Data'!$H$32,0)*'Env Data'!$E$32*Inputs!$B$34*Inputs!$B$37</f>
        <v>109.94999999999999</v>
      </c>
      <c r="L26" s="143">
        <f>ROUNDUP(((L$10/2000)/Inputs!$B$38)/'Env Data'!$H$32,0)*'Env Data'!$E$32*Inputs!$B$34*Inputs!$B$38</f>
        <v>183.25</v>
      </c>
      <c r="M26" s="208"/>
      <c r="O26" s="36" t="s">
        <v>338</v>
      </c>
      <c r="P26" s="392"/>
      <c r="Q26" s="392"/>
      <c r="R26" s="392"/>
      <c r="S26" s="393"/>
    </row>
    <row r="27" spans="1:19" ht="12.75" customHeight="1" hidden="1" thickBot="1">
      <c r="A27" s="113" t="s">
        <v>174</v>
      </c>
      <c r="B27" s="142">
        <f>ROUNDUP(((B$10/2000)/Inputs!$B$35)/'Env Data'!$H$32,0)*'Env Data'!$F$32*Inputs!$B$34*Inputs!$B$35</f>
        <v>33.160000000000004</v>
      </c>
      <c r="C27" s="142">
        <f>ROUNDUP(((C$10/2000)/Inputs!$B$36)/'Env Data'!$H$32,0)*'Env Data'!$F$32*Inputs!$B$34*Inputs!$B$36</f>
        <v>99.48000000000002</v>
      </c>
      <c r="D27" s="142">
        <f>ROUNDUP(((D$10/2000)/Inputs!$B$37)/'Env Data'!$H$32,0)*'Env Data'!$F$32*Inputs!$B$34*Inputs!$B$37</f>
        <v>198.96000000000004</v>
      </c>
      <c r="E27" s="148">
        <f>ROUNDUP(((E$10/2000)/Inputs!$B$38)/'Env Data'!$H$32,0)*'Env Data'!$F$32*Inputs!$B$34*Inputs!$B$38</f>
        <v>331.6</v>
      </c>
      <c r="F27" s="208"/>
      <c r="G27" s="9"/>
      <c r="H27" s="49" t="s">
        <v>174</v>
      </c>
      <c r="I27" s="141">
        <f>ROUNDUP(((I$10/2000)/Inputs!$B$35)/'Env Data'!$H$32,0)*'Env Data'!$F$32*Inputs!$B$34*Inputs!$B$35</f>
        <v>33.160000000000004</v>
      </c>
      <c r="J27" s="141">
        <f>ROUNDUP(((J$10/2000)/Inputs!$B$36)/'Env Data'!$H$32,0)*'Env Data'!$F$32*Inputs!$B$34*Inputs!$B$36</f>
        <v>99.48000000000002</v>
      </c>
      <c r="K27" s="141">
        <f>ROUNDUP(((K$10/2000)/Inputs!$B$37)/'Env Data'!$H$32,0)*'Env Data'!$F$32*Inputs!$B$34*Inputs!$B$37</f>
        <v>198.96000000000004</v>
      </c>
      <c r="L27" s="143">
        <f>ROUNDUP(((L$10/2000)/Inputs!$B$38)/'Env Data'!$H$32,0)*'Env Data'!$F$32*Inputs!$B$34*Inputs!$B$38</f>
        <v>331.6</v>
      </c>
      <c r="M27" s="208"/>
      <c r="O27" s="49" t="s">
        <v>174</v>
      </c>
      <c r="P27" s="394"/>
      <c r="Q27" s="394"/>
      <c r="R27" s="394"/>
      <c r="S27" s="395"/>
    </row>
    <row r="28" spans="1:19" ht="12.75" customHeight="1" hidden="1" thickBot="1">
      <c r="A28" s="168" t="s">
        <v>284</v>
      </c>
      <c r="B28" s="169"/>
      <c r="C28" s="169"/>
      <c r="D28" s="169"/>
      <c r="E28" s="170"/>
      <c r="F28" s="208"/>
      <c r="G28" s="9"/>
      <c r="H28" s="168" t="s">
        <v>284</v>
      </c>
      <c r="I28" s="169"/>
      <c r="J28" s="169"/>
      <c r="K28" s="169"/>
      <c r="L28" s="170"/>
      <c r="M28" s="208"/>
      <c r="O28" s="168" t="s">
        <v>284</v>
      </c>
      <c r="P28" s="169"/>
      <c r="Q28" s="169"/>
      <c r="R28" s="169"/>
      <c r="S28" s="170"/>
    </row>
    <row r="29" spans="1:19" ht="25.5" customHeight="1" hidden="1">
      <c r="A29" s="152" t="s">
        <v>242</v>
      </c>
      <c r="B29" s="139">
        <f>ROUNDUP(((B$10/2000/'Cost Data'!$D$42*'Cost Data'!$D$43)/Inputs!$B$30)/'Env Data'!$H$34,0)*'Env Data'!$G$34/1000*'Cost Data'!$D$46*Inputs!$B$15*Inputs!$B$30</f>
        <v>92.901844</v>
      </c>
      <c r="C29" s="139">
        <f>ROUNDUP(((C$10/2000/'Cost Data'!$D$42*'Cost Data'!$D$43)/Inputs!$B$31)/'Env Data'!$H$34,0)*'Env Data'!$G$34/1000*'Cost Data'!$D$46*Inputs!$B$15*Inputs!$B$31</f>
        <v>278.705532</v>
      </c>
      <c r="D29" s="139">
        <f>ROUNDUP(((D$10/2000/'Cost Data'!$D$42*'Cost Data'!$D$43)/Inputs!$B$32)/'Env Data'!$H$34,0)*'Env Data'!$G$34/1000*'Cost Data'!$D$46*Inputs!$B$15*Inputs!$B$32</f>
        <v>557.411064</v>
      </c>
      <c r="E29" s="149">
        <f>ROUNDUP(((E$10/2000/'Cost Data'!$D$42*'Cost Data'!$D$43)/Inputs!$B$33)/'Env Data'!$H$34,0)*'Env Data'!$G$34/1000*'Cost Data'!$D$46*Inputs!$B$15*Inputs!$B$33</f>
        <v>929.0184399999999</v>
      </c>
      <c r="F29" s="208"/>
      <c r="G29" s="9"/>
      <c r="H29" s="152" t="s">
        <v>242</v>
      </c>
      <c r="I29" s="139">
        <f>ROUNDUP(((I$10/2000/'Cost Data'!$D$42*'Cost Data'!$D$43)/Inputs!$B$30)/'Env Data'!$H$34,0)*'Env Data'!$G$34/1000*'Cost Data'!$D$46*Inputs!$B$15*Inputs!$B$30</f>
        <v>92.901844</v>
      </c>
      <c r="J29" s="139">
        <f>ROUNDUP(((J$10/2000/'Cost Data'!$D$42*'Cost Data'!$D$43)/Inputs!$B$31)/'Env Data'!$H$34,0)*'Env Data'!$G$34/1000*'Cost Data'!$D$46*Inputs!$B$15*Inputs!$B$31</f>
        <v>278.705532</v>
      </c>
      <c r="K29" s="139">
        <f>ROUNDUP(((K$10/2000/'Cost Data'!$D$42*'Cost Data'!$D$43)/Inputs!$B$32)/'Env Data'!$H$34,0)*'Env Data'!$G$34/1000*'Cost Data'!$D$46*Inputs!$B$15*Inputs!$B$32</f>
        <v>557.411064</v>
      </c>
      <c r="L29" s="149">
        <f>ROUNDUP(((L$10/2000/'Cost Data'!$D$42*'Cost Data'!$D$43)/Inputs!$B$33)/'Env Data'!$H$34,0)*'Env Data'!$G$34/1000*'Cost Data'!$D$46*Inputs!$B$15*Inputs!$B$33</f>
        <v>929.0184399999999</v>
      </c>
      <c r="M29" s="208"/>
      <c r="O29" s="152" t="s">
        <v>242</v>
      </c>
      <c r="P29" s="390"/>
      <c r="Q29" s="396"/>
      <c r="R29" s="396"/>
      <c r="S29" s="397"/>
    </row>
    <row r="30" spans="1:19" ht="12.75" customHeight="1" hidden="1">
      <c r="A30" s="36" t="s">
        <v>179</v>
      </c>
      <c r="B30" s="139">
        <f>ROUNDUP(((B$10/2000/'Cost Data'!$D$42*'Cost Data'!$D$43)/Inputs!$B$30)/'Env Data'!$H$34,0)*'Env Data'!$B$34*Inputs!$B$15*Inputs!$B$30</f>
        <v>144.6</v>
      </c>
      <c r="C30" s="139">
        <f>ROUNDUP(((C$10/2000/'Cost Data'!$D$42*'Cost Data'!$D$43)/Inputs!$B$31)/'Env Data'!$H$34,0)*'Env Data'!$B$34*Inputs!$B$15*Inputs!$B$31</f>
        <v>433.79999999999995</v>
      </c>
      <c r="D30" s="139">
        <f>ROUNDUP(((D$10/2000/'Cost Data'!$D$42*'Cost Data'!$D$43)/Inputs!$B$32)/'Env Data'!$H$34,0)*'Env Data'!$B$34*Inputs!$B$15*Inputs!$B$32</f>
        <v>867.5999999999999</v>
      </c>
      <c r="E30" s="149">
        <f>ROUNDUP(((E$10/2000/'Cost Data'!$D$42*'Cost Data'!$D$43)/Inputs!$B$33)/'Env Data'!$H$34,0)*'Env Data'!$B$34*Inputs!$B$15*Inputs!$B$33</f>
        <v>1446</v>
      </c>
      <c r="F30" s="208"/>
      <c r="G30" s="9"/>
      <c r="H30" s="36" t="s">
        <v>179</v>
      </c>
      <c r="I30" s="139">
        <f>ROUNDUP(((I$10/2000/'Cost Data'!$D$42*'Cost Data'!$D$43)/Inputs!$B$30)/'Env Data'!$H$34,0)*'Env Data'!$B$34*Inputs!$B$15*Inputs!$B$30</f>
        <v>144.6</v>
      </c>
      <c r="J30" s="139">
        <f>ROUNDUP(((J$10/2000/'Cost Data'!$D$42*'Cost Data'!$D$43)/Inputs!$B$31)/'Env Data'!$H$34,0)*'Env Data'!$B$34*Inputs!$B$15*Inputs!$B$31</f>
        <v>433.79999999999995</v>
      </c>
      <c r="K30" s="139">
        <f>ROUNDUP(((K$10/2000/'Cost Data'!$D$42*'Cost Data'!$D$43)/Inputs!$B$32)/'Env Data'!$H$34,0)*'Env Data'!$B$34*Inputs!$B$15*Inputs!$B$32</f>
        <v>867.5999999999999</v>
      </c>
      <c r="L30" s="149">
        <f>ROUNDUP(((L$10/2000/'Cost Data'!$D$42*'Cost Data'!$D$43)/Inputs!$B$33)/'Env Data'!$H$34,0)*'Env Data'!$B$34*Inputs!$B$15*Inputs!$B$33</f>
        <v>1446</v>
      </c>
      <c r="M30" s="208"/>
      <c r="O30" s="36" t="s">
        <v>179</v>
      </c>
      <c r="P30" s="398"/>
      <c r="Q30" s="398"/>
      <c r="R30" s="398"/>
      <c r="S30" s="399"/>
    </row>
    <row r="31" spans="1:19" ht="12.75" customHeight="1" hidden="1">
      <c r="A31" s="36" t="s">
        <v>212</v>
      </c>
      <c r="B31" s="139">
        <f>ROUNDUP(((B$10/2000/'Cost Data'!$D$42*'Cost Data'!$D$43)/Inputs!$B$30)/'Env Data'!$H$34,0)*'Env Data'!$C$34*Inputs!$B$15*Inputs!$B$30</f>
        <v>25.224999999999998</v>
      </c>
      <c r="C31" s="139">
        <f>ROUNDUP(((C$10/2000/'Cost Data'!$D$42*'Cost Data'!$D$43)/Inputs!$B$31)/'Env Data'!$H$34,0)*'Env Data'!$C$34*Inputs!$B$15*Inputs!$B$31</f>
        <v>75.675</v>
      </c>
      <c r="D31" s="139">
        <f>ROUNDUP(((D$10/2000/'Cost Data'!$D$42*'Cost Data'!$D$43)/Inputs!$B$32)/'Env Data'!$H$34,0)*'Env Data'!$C$34*Inputs!$B$15*Inputs!$B$32</f>
        <v>151.35</v>
      </c>
      <c r="E31" s="149">
        <f>ROUNDUP(((E$10/2000/'Cost Data'!$D$42*'Cost Data'!$D$43)/Inputs!$B$33)/'Env Data'!$H$34,0)*'Env Data'!$C$34*Inputs!$B$15*Inputs!$B$33</f>
        <v>252.24999999999997</v>
      </c>
      <c r="F31" s="208"/>
      <c r="G31" s="9"/>
      <c r="H31" s="36" t="s">
        <v>212</v>
      </c>
      <c r="I31" s="139">
        <f>ROUNDUP(((I$10/2000/'Cost Data'!$D$42*'Cost Data'!$D$43)/Inputs!$B$30)/'Env Data'!$H$34,0)*'Env Data'!$C$34*Inputs!$B$15*Inputs!$B$30</f>
        <v>25.224999999999998</v>
      </c>
      <c r="J31" s="139">
        <f>ROUNDUP(((J$10/2000/'Cost Data'!$D$42*'Cost Data'!$D$43)/Inputs!$B$31)/'Env Data'!$H$34,0)*'Env Data'!$C$34*Inputs!$B$15*Inputs!$B$31</f>
        <v>75.675</v>
      </c>
      <c r="K31" s="139">
        <f>ROUNDUP(((K$10/2000/'Cost Data'!$D$42*'Cost Data'!$D$43)/Inputs!$B$32)/'Env Data'!$H$34,0)*'Env Data'!$C$34*Inputs!$B$15*Inputs!$B$32</f>
        <v>151.35</v>
      </c>
      <c r="L31" s="149">
        <f>ROUNDUP(((L$10/2000/'Cost Data'!$D$42*'Cost Data'!$D$43)/Inputs!$B$33)/'Env Data'!$H$34,0)*'Env Data'!$C$34*Inputs!$B$15*Inputs!$B$33</f>
        <v>252.24999999999997</v>
      </c>
      <c r="M31" s="208"/>
      <c r="O31" s="36" t="s">
        <v>212</v>
      </c>
      <c r="P31" s="398"/>
      <c r="Q31" s="398"/>
      <c r="R31" s="398"/>
      <c r="S31" s="399"/>
    </row>
    <row r="32" spans="1:19" ht="12.75" customHeight="1" hidden="1">
      <c r="A32" s="36" t="s">
        <v>340</v>
      </c>
      <c r="B32" s="139">
        <f>ROUNDUP(((B$10/2000/'Cost Data'!$D$42*'Cost Data'!$D$43)/Inputs!$B$30)/'Env Data'!$H$34,0)*'Env Data'!$D$34*Inputs!$B$15*Inputs!$B$30</f>
        <v>617.875</v>
      </c>
      <c r="C32" s="139">
        <f>ROUNDUP(((C$10/2000/'Cost Data'!$D$42*'Cost Data'!$D$43)/Inputs!$B$31)/'Env Data'!$H$34,0)*'Env Data'!$D$34*Inputs!$B$15*Inputs!$B$31</f>
        <v>1853.625</v>
      </c>
      <c r="D32" s="139">
        <f>ROUNDUP(((D$10/2000/'Cost Data'!$D$42*'Cost Data'!$D$43)/Inputs!$B$32)/'Env Data'!$H$34,0)*'Env Data'!$D$34*Inputs!$B$15*Inputs!$B$32</f>
        <v>3707.25</v>
      </c>
      <c r="E32" s="149">
        <f>ROUNDUP(((E$10/2000/'Cost Data'!$D$42*'Cost Data'!$D$43)/Inputs!$B$33)/'Env Data'!$H$34,0)*'Env Data'!$D$34*Inputs!$B$15*Inputs!$B$33</f>
        <v>6178.75</v>
      </c>
      <c r="F32" s="208"/>
      <c r="G32" s="9"/>
      <c r="H32" s="36" t="s">
        <v>340</v>
      </c>
      <c r="I32" s="139">
        <f>ROUNDUP(((I$10/2000/'Cost Data'!$D$42*'Cost Data'!$D$43)/Inputs!$B$30)/'Env Data'!$H$34,0)*'Env Data'!$D$34*Inputs!$B$15*Inputs!$B$30</f>
        <v>617.875</v>
      </c>
      <c r="J32" s="139">
        <f>ROUNDUP(((J$10/2000/'Cost Data'!$D$42*'Cost Data'!$D$43)/Inputs!$B$31)/'Env Data'!$H$34,0)*'Env Data'!$D$34*Inputs!$B$15*Inputs!$B$31</f>
        <v>1853.625</v>
      </c>
      <c r="K32" s="139">
        <f>ROUNDUP(((K$10/2000/'Cost Data'!$D$42*'Cost Data'!$D$43)/Inputs!$B$32)/'Env Data'!$H$34,0)*'Env Data'!$D$34*Inputs!$B$15*Inputs!$B$32</f>
        <v>3707.25</v>
      </c>
      <c r="L32" s="149">
        <f>ROUNDUP(((L$10/2000/'Cost Data'!$D$42*'Cost Data'!$D$43)/Inputs!$B$33)/'Env Data'!$H$34,0)*'Env Data'!$D$34*Inputs!$B$15*Inputs!$B$33</f>
        <v>6178.75</v>
      </c>
      <c r="M32" s="208"/>
      <c r="O32" s="36" t="s">
        <v>340</v>
      </c>
      <c r="P32" s="398"/>
      <c r="Q32" s="398"/>
      <c r="R32" s="398"/>
      <c r="S32" s="399"/>
    </row>
    <row r="33" spans="1:19" ht="12.75" customHeight="1" hidden="1">
      <c r="A33" s="36" t="s">
        <v>338</v>
      </c>
      <c r="B33" s="139">
        <f>ROUNDUP(((B$10/2000/'Cost Data'!$D$42*'Cost Data'!$D$43)/Inputs!$B$30)/'Env Data'!$H$34,0)*'Env Data'!$E$34*Inputs!$B$15*Inputs!$B$30</f>
        <v>9.1625</v>
      </c>
      <c r="C33" s="139">
        <f>ROUNDUP(((C$10/2000/'Cost Data'!$D$42*'Cost Data'!$D$43)/Inputs!$B$31)/'Env Data'!$H$34,0)*'Env Data'!$E$34*Inputs!$B$15*Inputs!$B$31</f>
        <v>27.487499999999997</v>
      </c>
      <c r="D33" s="139">
        <f>ROUNDUP(((D$10/2000/'Cost Data'!$D$42*'Cost Data'!$D$43)/Inputs!$B$32)/'Env Data'!$H$34,0)*'Env Data'!$E$34*Inputs!$B$15*Inputs!$B$32</f>
        <v>54.974999999999994</v>
      </c>
      <c r="E33" s="149">
        <f>ROUNDUP(((E$10/2000/'Cost Data'!$D$42*'Cost Data'!$D$43)/Inputs!$B$33)/'Env Data'!$H$34,0)*'Env Data'!$E$34*Inputs!$B$15*Inputs!$B$33</f>
        <v>91.625</v>
      </c>
      <c r="F33" s="208"/>
      <c r="G33" s="9"/>
      <c r="H33" s="36" t="s">
        <v>338</v>
      </c>
      <c r="I33" s="139">
        <f>ROUNDUP(((I$10/2000/'Cost Data'!$D$42*'Cost Data'!$D$43)/Inputs!$B$30)/'Env Data'!$H$34,0)*'Env Data'!$E$34*Inputs!$B$15*Inputs!$B$30</f>
        <v>9.1625</v>
      </c>
      <c r="J33" s="139">
        <f>ROUNDUP(((J$10/2000/'Cost Data'!$D$42*'Cost Data'!$D$43)/Inputs!$B$31)/'Env Data'!$H$34,0)*'Env Data'!$E$34*Inputs!$B$15*Inputs!$B$31</f>
        <v>27.487499999999997</v>
      </c>
      <c r="K33" s="139">
        <f>ROUNDUP(((K$10/2000/'Cost Data'!$D$42*'Cost Data'!$D$43)/Inputs!$B$32)/'Env Data'!$H$34,0)*'Env Data'!$E$34*Inputs!$B$15*Inputs!$B$32</f>
        <v>54.974999999999994</v>
      </c>
      <c r="L33" s="149">
        <f>ROUNDUP(((L$10/2000/'Cost Data'!$D$42*'Cost Data'!$D$43)/Inputs!$B$33)/'Env Data'!$H$34,0)*'Env Data'!$E$34*Inputs!$B$15*Inputs!$B$33</f>
        <v>91.625</v>
      </c>
      <c r="M33" s="208"/>
      <c r="O33" s="36" t="s">
        <v>338</v>
      </c>
      <c r="P33" s="398"/>
      <c r="Q33" s="398"/>
      <c r="R33" s="398"/>
      <c r="S33" s="399"/>
    </row>
    <row r="34" spans="1:19" ht="12.75" customHeight="1" hidden="1" thickBot="1">
      <c r="A34" s="113" t="s">
        <v>174</v>
      </c>
      <c r="B34" s="139">
        <f>ROUNDUP(((B$10/2000/'Cost Data'!$D$42*'Cost Data'!$D$43)/Inputs!$B$30)/'Env Data'!$H$34,0)*'Env Data'!$F$34*Inputs!$B$15*Inputs!$B$30</f>
        <v>16.580000000000002</v>
      </c>
      <c r="C34" s="139">
        <f>ROUNDUP(((C$10/2000/'Cost Data'!$D$42*'Cost Data'!$D$43)/Inputs!$B$31)/'Env Data'!$H$34,0)*'Env Data'!$F$34*Inputs!$B$15*Inputs!$B$31</f>
        <v>49.74000000000001</v>
      </c>
      <c r="D34" s="139">
        <f>ROUNDUP(((D$10/2000/'Cost Data'!$D$42*'Cost Data'!$D$43)/Inputs!$B$32)/'Env Data'!$H$34,0)*'Env Data'!$F$34*Inputs!$B$15*Inputs!$B$32</f>
        <v>99.48000000000002</v>
      </c>
      <c r="E34" s="149">
        <f>ROUNDUP(((E$10/2000/'Cost Data'!$D$42*'Cost Data'!$D$43)/Inputs!$B$33)/'Env Data'!$H$34,0)*'Env Data'!$F$34*Inputs!$B$15*Inputs!$B$33</f>
        <v>165.8</v>
      </c>
      <c r="F34" s="208"/>
      <c r="G34" s="9"/>
      <c r="H34" s="113" t="s">
        <v>174</v>
      </c>
      <c r="I34" s="139">
        <f>ROUNDUP(((I$10/2000/'Cost Data'!$D$42*'Cost Data'!$D$43)/Inputs!$B$30)/'Env Data'!$H$34,0)*'Env Data'!$F$34*Inputs!$B$15*Inputs!$B$30</f>
        <v>16.580000000000002</v>
      </c>
      <c r="J34" s="139">
        <f>ROUNDUP(((J$10/2000/'Cost Data'!$D$42*'Cost Data'!$D$43)/Inputs!$B$31)/'Env Data'!$H$34,0)*'Env Data'!$F$34*Inputs!$B$15*Inputs!$B$31</f>
        <v>49.74000000000001</v>
      </c>
      <c r="K34" s="139">
        <f>ROUNDUP(((K$10/2000/'Cost Data'!$D$42*'Cost Data'!$D$43)/Inputs!$B$32)/'Env Data'!$H$34,0)*'Env Data'!$F$34*Inputs!$B$15*Inputs!$B$32</f>
        <v>99.48000000000002</v>
      </c>
      <c r="L34" s="149">
        <f>ROUNDUP(((L$10/2000/'Cost Data'!$D$42*'Cost Data'!$D$43)/Inputs!$B$33)/'Env Data'!$H$34,0)*'Env Data'!$F$34*Inputs!$B$15*Inputs!$B$33</f>
        <v>165.8</v>
      </c>
      <c r="M34" s="208"/>
      <c r="O34" s="113" t="s">
        <v>174</v>
      </c>
      <c r="P34" s="400"/>
      <c r="Q34" s="400"/>
      <c r="R34" s="400"/>
      <c r="S34" s="401"/>
    </row>
    <row r="35" spans="1:19" ht="12.75" customHeight="1" hidden="1" thickBot="1">
      <c r="A35" s="168" t="s">
        <v>382</v>
      </c>
      <c r="B35" s="169"/>
      <c r="C35" s="169"/>
      <c r="D35" s="169"/>
      <c r="E35" s="170"/>
      <c r="F35" s="208"/>
      <c r="G35" s="9"/>
      <c r="H35" s="168" t="s">
        <v>382</v>
      </c>
      <c r="I35" s="169"/>
      <c r="J35" s="169"/>
      <c r="K35" s="169"/>
      <c r="L35" s="170"/>
      <c r="M35" s="208"/>
      <c r="O35" s="168" t="s">
        <v>382</v>
      </c>
      <c r="P35" s="169"/>
      <c r="Q35" s="169"/>
      <c r="R35" s="169"/>
      <c r="S35" s="170"/>
    </row>
    <row r="36" spans="1:19" ht="25.5" customHeight="1" hidden="1">
      <c r="A36" s="152" t="s">
        <v>242</v>
      </c>
      <c r="B36" s="139">
        <f>ROUNDUP(((B$11/2000/'Cost Data'!$D$42*'Cost Data'!$D$43)/Inputs!$B$30)/'Env Data'!$H$34,0)*'Env Data'!$G$34/1000*'Cost Data'!$D$46*(Inputs!$B$15-Inputs!$B$29)*Inputs!$B$30</f>
        <v>0</v>
      </c>
      <c r="C36" s="139">
        <f>ROUNDUP(((C$11/2000/'Cost Data'!$D$42*'Cost Data'!$D$43)/Inputs!$B$31)/'Env Data'!$H$34,0)*'Env Data'!$G$34/1000*'Cost Data'!$D$46*(Inputs!$B$15-Inputs!$B$29)*Inputs!$B$31</f>
        <v>0</v>
      </c>
      <c r="D36" s="139">
        <f>ROUNDUP(((D$11/2000/'Cost Data'!$D$42*'Cost Data'!$D$43)/Inputs!$B$32)/'Env Data'!$H$34,0)*'Env Data'!$G$34/1000*'Cost Data'!$D$46*(Inputs!$B$15-Inputs!$B$29)*Inputs!$B$32</f>
        <v>0</v>
      </c>
      <c r="E36" s="149">
        <f>ROUNDUP(((E$11/2000/'Cost Data'!$D$42*'Cost Data'!$D$43)/Inputs!$B$33)/'Env Data'!$H$34,0)*'Env Data'!$G$34/1000*'Cost Data'!$D$46*(Inputs!$B$15-Inputs!$B$29)*Inputs!$B$33</f>
        <v>0</v>
      </c>
      <c r="F36" s="208"/>
      <c r="G36" s="9"/>
      <c r="H36" s="152" t="s">
        <v>242</v>
      </c>
      <c r="I36" s="389"/>
      <c r="J36" s="390"/>
      <c r="K36" s="390"/>
      <c r="L36" s="391"/>
      <c r="M36" s="208"/>
      <c r="O36" s="152" t="s">
        <v>242</v>
      </c>
      <c r="P36" s="139">
        <f>ROUNDUP(((P$11/2000/'Cost Data'!$D$42*'Cost Data'!$D$43)/Inputs!$B$30)/'Env Data'!$H$34,0)*'Env Data'!$G$34/1000*'Cost Data'!$D$46*(Inputs!$B$15-Inputs!$B$29)*Inputs!$B$30</f>
        <v>0</v>
      </c>
      <c r="Q36" s="139">
        <f>ROUNDUP(((Q$11/2000/'Cost Data'!$D$42*'Cost Data'!$D$43)/Inputs!$B$31)/'Env Data'!$H$34,0)*'Env Data'!$G$34/1000*'Cost Data'!$D$46*(Inputs!$B$15-Inputs!$B$29)*Inputs!$B$31</f>
        <v>0</v>
      </c>
      <c r="R36" s="139">
        <f>ROUNDUP(((R$11/2000/'Cost Data'!$D$42*'Cost Data'!$D$43)/Inputs!$B$32)/'Env Data'!$H$34,0)*'Env Data'!$G$34/1000*'Cost Data'!$D$46*(Inputs!$B$15-Inputs!$B$29)*Inputs!$B$32</f>
        <v>0</v>
      </c>
      <c r="S36" s="149">
        <f>ROUNDUP(((S$11/2000/'Cost Data'!$D$42*'Cost Data'!$D$43)/Inputs!$B$33)/'Env Data'!$H$34,0)*'Env Data'!$G$34/1000*'Cost Data'!$D$46*(Inputs!$B$15-Inputs!$B$29)*Inputs!$B$33</f>
        <v>0</v>
      </c>
    </row>
    <row r="37" spans="1:19" ht="12.75" customHeight="1" hidden="1">
      <c r="A37" s="36" t="s">
        <v>179</v>
      </c>
      <c r="B37" s="139">
        <f>ROUNDUP(((B$11/2000/'Cost Data'!$D$42*'Cost Data'!$D$43)/Inputs!$B$30)/'Env Data'!$H$34,0)*'Env Data'!$B$34*(Inputs!$B$15-Inputs!$B$29)*Inputs!$B$30</f>
        <v>0</v>
      </c>
      <c r="C37" s="139">
        <f>ROUNDUP(((C$11/2000/'Cost Data'!$D$42*'Cost Data'!$D$43)/Inputs!$B$31)/'Env Data'!$H$34,0)*'Env Data'!$B$34*(Inputs!$B$15-Inputs!$B$29)*Inputs!$B$31</f>
        <v>0</v>
      </c>
      <c r="D37" s="139">
        <f>ROUNDUP(((D$11/2000/'Cost Data'!$D$42*'Cost Data'!$D$43)/Inputs!$B$32)/'Env Data'!$H$34,0)*'Env Data'!$B$34*(Inputs!$B$15-Inputs!$B$29)*Inputs!$B$32</f>
        <v>0</v>
      </c>
      <c r="E37" s="149">
        <f>ROUNDUP(((E$11/2000/'Cost Data'!$D$42*'Cost Data'!$D$43)/Inputs!$B$33)/'Env Data'!$H$34,0)*'Env Data'!$B$34*(Inputs!$B$15-Inputs!$B$29)*Inputs!$B$33</f>
        <v>0</v>
      </c>
      <c r="F37" s="208"/>
      <c r="G37" s="9"/>
      <c r="H37" s="36" t="s">
        <v>179</v>
      </c>
      <c r="I37" s="392"/>
      <c r="J37" s="392"/>
      <c r="K37" s="392"/>
      <c r="L37" s="393"/>
      <c r="M37" s="208"/>
      <c r="O37" s="36" t="s">
        <v>179</v>
      </c>
      <c r="P37" s="139">
        <f>ROUNDUP(((P$11/2000/'Cost Data'!$D$42*'Cost Data'!$D$43)/Inputs!$B$30)/'Env Data'!$H$34,0)*'Env Data'!$B$34*(Inputs!$B$15-Inputs!$B$29)*Inputs!$B$30</f>
        <v>0</v>
      </c>
      <c r="Q37" s="139">
        <f>ROUNDUP(((Q$11/2000/'Cost Data'!$D$42*'Cost Data'!$D$43)/Inputs!$B$31)/'Env Data'!$H$34,0)*'Env Data'!$B$34*(Inputs!$B$15-Inputs!$B$29)*Inputs!$B$31</f>
        <v>0</v>
      </c>
      <c r="R37" s="139">
        <f>ROUNDUP(((R$11/2000/'Cost Data'!$D$42*'Cost Data'!$D$43)/Inputs!$B$32)/'Env Data'!$H$34,0)*'Env Data'!$B$34*(Inputs!$B$15-Inputs!$B$29)*Inputs!$B$32</f>
        <v>0</v>
      </c>
      <c r="S37" s="149">
        <f>ROUNDUP(((S$11/2000/'Cost Data'!$D$42*'Cost Data'!$D$43)/Inputs!$B$33)/'Env Data'!$H$34,0)*'Env Data'!$B$34*(Inputs!$B$15-Inputs!$B$29)*Inputs!$B$33</f>
        <v>0</v>
      </c>
    </row>
    <row r="38" spans="1:19" ht="12.75" customHeight="1" hidden="1">
      <c r="A38" s="36" t="s">
        <v>212</v>
      </c>
      <c r="B38" s="139">
        <f>ROUNDUP(((B$11/2000/'Cost Data'!$D$42*'Cost Data'!$D$43)/Inputs!$B$30)/'Env Data'!$H$34,0)*'Env Data'!$C$34*(Inputs!$B$15-Inputs!$B$29)*Inputs!$B$30</f>
        <v>0</v>
      </c>
      <c r="C38" s="139">
        <f>ROUNDUP(((C$11/2000/'Cost Data'!$D$42*'Cost Data'!$D$43)/Inputs!$B$31)/'Env Data'!$H$34,0)*'Env Data'!$C$34*(Inputs!$B$15-Inputs!$B$29)*Inputs!$B$31</f>
        <v>0</v>
      </c>
      <c r="D38" s="139">
        <f>ROUNDUP(((D$11/2000/'Cost Data'!$D$42*'Cost Data'!$D$43)/Inputs!$B$32)/'Env Data'!$H$34,0)*'Env Data'!$C$34*(Inputs!$B$15-Inputs!$B$29)*Inputs!$B$32</f>
        <v>0</v>
      </c>
      <c r="E38" s="149">
        <f>ROUNDUP(((E$11/2000/'Cost Data'!$D$42*'Cost Data'!$D$43)/Inputs!$B$33)/'Env Data'!$H$34,0)*'Env Data'!$C$34*(Inputs!$B$15-Inputs!$B$29)*Inputs!$B$33</f>
        <v>0</v>
      </c>
      <c r="F38" s="208"/>
      <c r="G38" s="9"/>
      <c r="H38" s="36" t="s">
        <v>212</v>
      </c>
      <c r="I38" s="392"/>
      <c r="J38" s="392"/>
      <c r="K38" s="392"/>
      <c r="L38" s="393"/>
      <c r="M38" s="208"/>
      <c r="O38" s="36" t="s">
        <v>212</v>
      </c>
      <c r="P38" s="139">
        <f>ROUNDUP(((P$11/2000/'Cost Data'!$D$42*'Cost Data'!$D$43)/Inputs!$B$30)/'Env Data'!$H$34,0)*'Env Data'!$C$34*(Inputs!$B$15-Inputs!$B$29)*Inputs!$B$30</f>
        <v>0</v>
      </c>
      <c r="Q38" s="139">
        <f>ROUNDUP(((Q$11/2000/'Cost Data'!$D$42*'Cost Data'!$D$43)/Inputs!$B$31)/'Env Data'!$H$34,0)*'Env Data'!$C$34*(Inputs!$B$15-Inputs!$B$29)*Inputs!$B$31</f>
        <v>0</v>
      </c>
      <c r="R38" s="139">
        <f>ROUNDUP(((R$11/2000/'Cost Data'!$D$42*'Cost Data'!$D$43)/Inputs!$B$32)/'Env Data'!$H$34,0)*'Env Data'!$C$34*(Inputs!$B$15-Inputs!$B$29)*Inputs!$B$32</f>
        <v>0</v>
      </c>
      <c r="S38" s="149">
        <f>ROUNDUP(((S$11/2000/'Cost Data'!$D$42*'Cost Data'!$D$43)/Inputs!$B$33)/'Env Data'!$H$34,0)*'Env Data'!$C$34*(Inputs!$B$15-Inputs!$B$29)*Inputs!$B$33</f>
        <v>0</v>
      </c>
    </row>
    <row r="39" spans="1:19" ht="12.75" customHeight="1" hidden="1">
      <c r="A39" s="36" t="s">
        <v>340</v>
      </c>
      <c r="B39" s="139">
        <f>ROUNDUP(((B$11/2000/'Cost Data'!$D$42*'Cost Data'!$D$43)/Inputs!$B$30)/'Env Data'!$H$34,0)*'Env Data'!$D$34*(Inputs!$B$15-Inputs!$B$29)*Inputs!$B$30</f>
        <v>0</v>
      </c>
      <c r="C39" s="139">
        <f>ROUNDUP(((C$11/2000/'Cost Data'!$D$42*'Cost Data'!$D$43)/Inputs!$B$31)/'Env Data'!$H$34,0)*'Env Data'!$D$34*(Inputs!$B$15-Inputs!$B$29)*Inputs!$B$31</f>
        <v>0</v>
      </c>
      <c r="D39" s="139">
        <f>ROUNDUP(((D$11/2000/'Cost Data'!$D$42*'Cost Data'!$D$43)/Inputs!$B$32)/'Env Data'!$H$34,0)*'Env Data'!$D$34*(Inputs!$B$15-Inputs!$B$29)*Inputs!$B$32</f>
        <v>0</v>
      </c>
      <c r="E39" s="149">
        <f>ROUNDUP(((E$11/2000/'Cost Data'!$D$42*'Cost Data'!$D$43)/Inputs!$B$33)/'Env Data'!$H$34,0)*'Env Data'!$D$34*(Inputs!$B$15-Inputs!$B$29)*Inputs!$B$33</f>
        <v>0</v>
      </c>
      <c r="F39" s="208"/>
      <c r="G39" s="9"/>
      <c r="H39" s="36" t="s">
        <v>340</v>
      </c>
      <c r="I39" s="392"/>
      <c r="J39" s="392"/>
      <c r="K39" s="392"/>
      <c r="L39" s="393"/>
      <c r="M39" s="208"/>
      <c r="O39" s="36" t="s">
        <v>340</v>
      </c>
      <c r="P39" s="139">
        <f>ROUNDUP(((P$11/2000/'Cost Data'!$D$42*'Cost Data'!$D$43)/Inputs!$B$30)/'Env Data'!$H$34,0)*'Env Data'!$D$34*(Inputs!$B$15-Inputs!$B$29)*Inputs!$B$30</f>
        <v>0</v>
      </c>
      <c r="Q39" s="139">
        <f>ROUNDUP(((Q$11/2000/'Cost Data'!$D$42*'Cost Data'!$D$43)/Inputs!$B$31)/'Env Data'!$H$34,0)*'Env Data'!$D$34*(Inputs!$B$15-Inputs!$B$29)*Inputs!$B$31</f>
        <v>0</v>
      </c>
      <c r="R39" s="139">
        <f>ROUNDUP(((R$11/2000/'Cost Data'!$D$42*'Cost Data'!$D$43)/Inputs!$B$32)/'Env Data'!$H$34,0)*'Env Data'!$D$34*(Inputs!$B$15-Inputs!$B$29)*Inputs!$B$32</f>
        <v>0</v>
      </c>
      <c r="S39" s="149">
        <f>ROUNDUP(((S$11/2000/'Cost Data'!$D$42*'Cost Data'!$D$43)/Inputs!$B$33)/'Env Data'!$H$34,0)*'Env Data'!$D$34*(Inputs!$B$15-Inputs!$B$29)*Inputs!$B$33</f>
        <v>0</v>
      </c>
    </row>
    <row r="40" spans="1:19" ht="12.75" customHeight="1" hidden="1">
      <c r="A40" s="36" t="s">
        <v>338</v>
      </c>
      <c r="B40" s="139">
        <f>ROUNDUP(((B$11/2000/'Cost Data'!$D$42*'Cost Data'!$D$43)/Inputs!$B$30)/'Env Data'!$H$34,0)*'Env Data'!$E$34*(Inputs!$B$15-Inputs!$B$29)*Inputs!$B$30</f>
        <v>0</v>
      </c>
      <c r="C40" s="139">
        <f>ROUNDUP(((C$11/2000/'Cost Data'!$D$42*'Cost Data'!$D$43)/Inputs!$B$31)/'Env Data'!$H$34,0)*'Env Data'!$E$34*(Inputs!$B$15-Inputs!$B$29)*Inputs!$B$31</f>
        <v>0</v>
      </c>
      <c r="D40" s="139">
        <f>ROUNDUP(((D$11/2000/'Cost Data'!$D$42*'Cost Data'!$D$43)/Inputs!$B$32)/'Env Data'!$H$34,0)*'Env Data'!$E$34*(Inputs!$B$15-Inputs!$B$29)*Inputs!$B$32</f>
        <v>0</v>
      </c>
      <c r="E40" s="149">
        <f>ROUNDUP(((E$11/2000/'Cost Data'!$D$42*'Cost Data'!$D$43)/Inputs!$B$33)/'Env Data'!$H$34,0)*'Env Data'!$E$34*(Inputs!$B$15-Inputs!$B$29)*Inputs!$B$33</f>
        <v>0</v>
      </c>
      <c r="F40" s="208"/>
      <c r="G40" s="9"/>
      <c r="H40" s="36" t="s">
        <v>338</v>
      </c>
      <c r="I40" s="392"/>
      <c r="J40" s="392"/>
      <c r="K40" s="392"/>
      <c r="L40" s="393"/>
      <c r="M40" s="208"/>
      <c r="O40" s="36" t="s">
        <v>338</v>
      </c>
      <c r="P40" s="139">
        <f>ROUNDUP(((P$11/2000/'Cost Data'!$D$42*'Cost Data'!$D$43)/Inputs!$B$30)/'Env Data'!$H$34,0)*'Env Data'!$E$34*(Inputs!$B$15-Inputs!$B$29)*Inputs!$B$30</f>
        <v>0</v>
      </c>
      <c r="Q40" s="139">
        <f>ROUNDUP(((Q$11/2000/'Cost Data'!$D$42*'Cost Data'!$D$43)/Inputs!$B$31)/'Env Data'!$H$34,0)*'Env Data'!$E$34*(Inputs!$B$15-Inputs!$B$29)*Inputs!$B$31</f>
        <v>0</v>
      </c>
      <c r="R40" s="139">
        <f>ROUNDUP(((R$11/2000/'Cost Data'!$D$42*'Cost Data'!$D$43)/Inputs!$B$32)/'Env Data'!$H$34,0)*'Env Data'!$E$34*(Inputs!$B$15-Inputs!$B$29)*Inputs!$B$32</f>
        <v>0</v>
      </c>
      <c r="S40" s="149">
        <f>ROUNDUP(((S$11/2000/'Cost Data'!$D$42*'Cost Data'!$D$43)/Inputs!$B$33)/'Env Data'!$H$34,0)*'Env Data'!$E$34*(Inputs!$B$15-Inputs!$B$29)*Inputs!$B$33</f>
        <v>0</v>
      </c>
    </row>
    <row r="41" spans="1:19" ht="12.75" customHeight="1" hidden="1" thickBot="1">
      <c r="A41" s="113" t="s">
        <v>174</v>
      </c>
      <c r="B41" s="139">
        <f>ROUNDUP(((B$11/2000/'Cost Data'!$D$42*'Cost Data'!$D$43)/Inputs!$B$30)/'Env Data'!$H$34,0)*'Env Data'!$F$34*(Inputs!$B$15-Inputs!$B$29)*Inputs!$B$30</f>
        <v>0</v>
      </c>
      <c r="C41" s="139">
        <f>ROUNDUP(((C$11/2000/'Cost Data'!$D$42*'Cost Data'!$D$43)/Inputs!$B$31)/'Env Data'!$H$34,0)*'Env Data'!$F$34*(Inputs!$B$15-Inputs!$B$29)*Inputs!$B$31</f>
        <v>0</v>
      </c>
      <c r="D41" s="139">
        <f>ROUNDUP(((D$11/2000/'Cost Data'!$D$42*'Cost Data'!$D$43)/Inputs!$B$32)/'Env Data'!$H$34,0)*'Env Data'!$F$34*(Inputs!$B$15-Inputs!$B$29)*Inputs!$B$32</f>
        <v>0</v>
      </c>
      <c r="E41" s="149">
        <f>ROUNDUP(((E$11/2000/'Cost Data'!$D$42*'Cost Data'!$D$43)/Inputs!$B$33)/'Env Data'!$H$34,0)*'Env Data'!$F$34*(Inputs!$B$15-Inputs!$B$29)*Inputs!$B$33</f>
        <v>0</v>
      </c>
      <c r="F41" s="208"/>
      <c r="G41" s="9"/>
      <c r="H41" s="113" t="s">
        <v>174</v>
      </c>
      <c r="I41" s="394"/>
      <c r="J41" s="394"/>
      <c r="K41" s="394"/>
      <c r="L41" s="395"/>
      <c r="M41" s="208"/>
      <c r="O41" s="113" t="s">
        <v>174</v>
      </c>
      <c r="P41" s="139">
        <f>ROUNDUP(((P$11/2000/'Cost Data'!$D$42*'Cost Data'!$D$43)/Inputs!$B$30)/'Env Data'!$H$34,0)*'Env Data'!$F$34*(Inputs!$B$15-Inputs!$B$29)*Inputs!$B$30</f>
        <v>0</v>
      </c>
      <c r="Q41" s="139">
        <f>ROUNDUP(((Q$11/2000/'Cost Data'!$D$42*'Cost Data'!$D$43)/Inputs!$B$31)/'Env Data'!$H$34,0)*'Env Data'!$F$34*(Inputs!$B$15-Inputs!$B$29)*Inputs!$B$31</f>
        <v>0</v>
      </c>
      <c r="R41" s="139">
        <f>ROUNDUP(((R$11/2000/'Cost Data'!$D$42*'Cost Data'!$D$43)/Inputs!$B$32)/'Env Data'!$H$34,0)*'Env Data'!$F$34*(Inputs!$B$15-Inputs!$B$29)*Inputs!$B$32</f>
        <v>0</v>
      </c>
      <c r="S41" s="149">
        <f>ROUNDUP(((S$11/2000/'Cost Data'!$D$42*'Cost Data'!$D$43)/Inputs!$B$33)/'Env Data'!$H$34,0)*'Env Data'!$F$34*(Inputs!$B$15-Inputs!$B$29)*Inputs!$B$33</f>
        <v>0</v>
      </c>
    </row>
    <row r="42" spans="1:19" ht="12.75" customHeight="1" thickBot="1">
      <c r="A42" s="257" t="s">
        <v>259</v>
      </c>
      <c r="B42" s="169"/>
      <c r="C42" s="169"/>
      <c r="D42" s="169"/>
      <c r="E42" s="170"/>
      <c r="F42" s="208"/>
      <c r="G42" s="9"/>
      <c r="H42" s="257" t="s">
        <v>259</v>
      </c>
      <c r="I42" s="169"/>
      <c r="J42" s="169"/>
      <c r="K42" s="169"/>
      <c r="L42" s="170"/>
      <c r="M42" s="208"/>
      <c r="O42" s="257" t="s">
        <v>259</v>
      </c>
      <c r="P42" s="169"/>
      <c r="Q42" s="169"/>
      <c r="R42" s="169"/>
      <c r="S42" s="170"/>
    </row>
    <row r="43" spans="1:19" ht="12.75" customHeight="1">
      <c r="A43" s="114" t="s">
        <v>178</v>
      </c>
      <c r="B43" s="139">
        <f>SUM(B14)</f>
        <v>3585.615</v>
      </c>
      <c r="C43" s="139">
        <f>SUM(C14)</f>
        <v>10756.845000000001</v>
      </c>
      <c r="D43" s="139">
        <f>SUM(D14)</f>
        <v>21513.690000000002</v>
      </c>
      <c r="E43" s="149">
        <f>SUM(E14)</f>
        <v>35856.15</v>
      </c>
      <c r="F43" s="208"/>
      <c r="G43" s="9"/>
      <c r="H43" s="114" t="s">
        <v>178</v>
      </c>
      <c r="I43" s="139">
        <f>SUM(I14)</f>
        <v>1799.25</v>
      </c>
      <c r="J43" s="139">
        <f>SUM(J14)</f>
        <v>5397.75</v>
      </c>
      <c r="K43" s="139">
        <f>SUM(K14)</f>
        <v>10795.5</v>
      </c>
      <c r="L43" s="149">
        <f>SUM(L14)</f>
        <v>17992.5</v>
      </c>
      <c r="M43" s="208"/>
      <c r="O43" s="114" t="s">
        <v>178</v>
      </c>
      <c r="P43" s="139">
        <f>SUM(P14)</f>
        <v>3572.73</v>
      </c>
      <c r="Q43" s="139">
        <f>SUM(Q14)</f>
        <v>10718.19</v>
      </c>
      <c r="R43" s="139">
        <f>SUM(R14)</f>
        <v>21436.38</v>
      </c>
      <c r="S43" s="149">
        <f>SUM(S14)</f>
        <v>35727.3</v>
      </c>
    </row>
    <row r="44" spans="1:19" ht="25.5" customHeight="1">
      <c r="A44" s="152" t="s">
        <v>242</v>
      </c>
      <c r="B44" s="139">
        <f aca="true" t="shared" si="0" ref="B44:E49">SUM(B15,B22,B29,B36)</f>
        <v>8414.34138498691</v>
      </c>
      <c r="C44" s="139">
        <f t="shared" si="0"/>
        <v>25243.02415496073</v>
      </c>
      <c r="D44" s="139">
        <f t="shared" si="0"/>
        <v>50486.04830992146</v>
      </c>
      <c r="E44" s="149">
        <f t="shared" si="0"/>
        <v>84143.41384986909</v>
      </c>
      <c r="F44" s="208"/>
      <c r="G44" s="9"/>
      <c r="H44" s="152" t="s">
        <v>242</v>
      </c>
      <c r="I44" s="139">
        <f aca="true" t="shared" si="1" ref="I44:L49">SUM(I15,I22,I29,I36)</f>
        <v>4363.352058146001</v>
      </c>
      <c r="J44" s="139">
        <f t="shared" si="1"/>
        <v>13090.056174438001</v>
      </c>
      <c r="K44" s="139">
        <f t="shared" si="1"/>
        <v>26180.112348876002</v>
      </c>
      <c r="L44" s="149">
        <f t="shared" si="1"/>
        <v>43633.520581460005</v>
      </c>
      <c r="M44" s="208"/>
      <c r="O44" s="152" t="s">
        <v>242</v>
      </c>
      <c r="P44" s="139">
        <f aca="true" t="shared" si="2" ref="P44:S49">SUM(P15,P22,P29,P36)</f>
        <v>8101.978653681818</v>
      </c>
      <c r="Q44" s="139">
        <f t="shared" si="2"/>
        <v>24305.935961045456</v>
      </c>
      <c r="R44" s="139">
        <f t="shared" si="2"/>
        <v>48611.87192209091</v>
      </c>
      <c r="S44" s="149">
        <f t="shared" si="2"/>
        <v>81019.78653681818</v>
      </c>
    </row>
    <row r="45" spans="1:19" ht="12.75" customHeight="1">
      <c r="A45" s="36" t="s">
        <v>179</v>
      </c>
      <c r="B45" s="139">
        <f t="shared" si="0"/>
        <v>1758.1508438038647</v>
      </c>
      <c r="C45" s="139">
        <f t="shared" si="0"/>
        <v>5274.4525314115945</v>
      </c>
      <c r="D45" s="139">
        <f t="shared" si="0"/>
        <v>10548.905062823189</v>
      </c>
      <c r="E45" s="149">
        <f t="shared" si="0"/>
        <v>17581.508438038647</v>
      </c>
      <c r="F45" s="208"/>
      <c r="G45" s="9"/>
      <c r="H45" s="36" t="s">
        <v>179</v>
      </c>
      <c r="I45" s="139">
        <f t="shared" si="1"/>
        <v>1757.3600000000001</v>
      </c>
      <c r="J45" s="139">
        <f t="shared" si="1"/>
        <v>5272.080000000001</v>
      </c>
      <c r="K45" s="139">
        <f t="shared" si="1"/>
        <v>10544.160000000002</v>
      </c>
      <c r="L45" s="149">
        <f t="shared" si="1"/>
        <v>17573.600000000002</v>
      </c>
      <c r="M45" s="208"/>
      <c r="O45" s="36" t="s">
        <v>179</v>
      </c>
      <c r="P45" s="139">
        <f t="shared" si="2"/>
        <v>1.5816876077292945</v>
      </c>
      <c r="Q45" s="139">
        <f t="shared" si="2"/>
        <v>4.745062823187884</v>
      </c>
      <c r="R45" s="139">
        <f t="shared" si="2"/>
        <v>9.490125646375768</v>
      </c>
      <c r="S45" s="149">
        <f t="shared" si="2"/>
        <v>15.816876077292944</v>
      </c>
    </row>
    <row r="46" spans="1:19" ht="12.75" customHeight="1">
      <c r="A46" s="36" t="s">
        <v>212</v>
      </c>
      <c r="B46" s="139">
        <f t="shared" si="0"/>
        <v>307.7365328177447</v>
      </c>
      <c r="C46" s="139">
        <f t="shared" si="0"/>
        <v>923.2095984532341</v>
      </c>
      <c r="D46" s="139">
        <f t="shared" si="0"/>
        <v>1846.4191969064682</v>
      </c>
      <c r="E46" s="149">
        <f t="shared" si="0"/>
        <v>3077.3653281774473</v>
      </c>
      <c r="F46" s="208"/>
      <c r="G46" s="9"/>
      <c r="H46" s="36" t="s">
        <v>212</v>
      </c>
      <c r="I46" s="139">
        <f t="shared" si="1"/>
        <v>307.1</v>
      </c>
      <c r="J46" s="139">
        <f t="shared" si="1"/>
        <v>921.3</v>
      </c>
      <c r="K46" s="139">
        <f t="shared" si="1"/>
        <v>1842.6</v>
      </c>
      <c r="L46" s="149">
        <f t="shared" si="1"/>
        <v>3071</v>
      </c>
      <c r="M46" s="208"/>
      <c r="O46" s="36" t="s">
        <v>212</v>
      </c>
      <c r="P46" s="139">
        <f t="shared" si="2"/>
        <v>1.2730656354894299</v>
      </c>
      <c r="Q46" s="139">
        <f t="shared" si="2"/>
        <v>3.8191969064682896</v>
      </c>
      <c r="R46" s="139">
        <f t="shared" si="2"/>
        <v>7.638393812936579</v>
      </c>
      <c r="S46" s="149">
        <f t="shared" si="2"/>
        <v>12.730656354894299</v>
      </c>
    </row>
    <row r="47" spans="1:19" ht="12.75" customHeight="1">
      <c r="A47" s="36" t="s">
        <v>340</v>
      </c>
      <c r="B47" s="139">
        <f t="shared" si="0"/>
        <v>2388.9719971876984</v>
      </c>
      <c r="C47" s="139">
        <f t="shared" si="0"/>
        <v>7166.915991563095</v>
      </c>
      <c r="D47" s="139">
        <f t="shared" si="0"/>
        <v>14333.83198312619</v>
      </c>
      <c r="E47" s="149">
        <f t="shared" si="0"/>
        <v>23889.719971876984</v>
      </c>
      <c r="F47" s="208"/>
      <c r="G47" s="9"/>
      <c r="H47" s="36" t="s">
        <v>340</v>
      </c>
      <c r="I47" s="139">
        <f t="shared" si="1"/>
        <v>2385.5</v>
      </c>
      <c r="J47" s="139">
        <f t="shared" si="1"/>
        <v>7156.5</v>
      </c>
      <c r="K47" s="139">
        <f t="shared" si="1"/>
        <v>14313</v>
      </c>
      <c r="L47" s="149">
        <f t="shared" si="1"/>
        <v>23855</v>
      </c>
      <c r="M47" s="208"/>
      <c r="O47" s="36" t="s">
        <v>340</v>
      </c>
      <c r="P47" s="139">
        <f t="shared" si="2"/>
        <v>6.943994375396887</v>
      </c>
      <c r="Q47" s="139">
        <f t="shared" si="2"/>
        <v>20.83198312619066</v>
      </c>
      <c r="R47" s="139">
        <f t="shared" si="2"/>
        <v>41.66396625238132</v>
      </c>
      <c r="S47" s="149">
        <f t="shared" si="2"/>
        <v>69.43994375396886</v>
      </c>
    </row>
    <row r="48" spans="1:19" ht="12.75" customHeight="1">
      <c r="A48" s="36" t="s">
        <v>338</v>
      </c>
      <c r="B48" s="139">
        <f t="shared" si="0"/>
        <v>620.6618552118299</v>
      </c>
      <c r="C48" s="139">
        <f t="shared" si="0"/>
        <v>1861.9855656354894</v>
      </c>
      <c r="D48" s="139">
        <f t="shared" si="0"/>
        <v>3723.9711312709787</v>
      </c>
      <c r="E48" s="149">
        <f t="shared" si="0"/>
        <v>6206.618552118298</v>
      </c>
      <c r="F48" s="208"/>
      <c r="G48" s="9"/>
      <c r="H48" s="36" t="s">
        <v>338</v>
      </c>
      <c r="I48" s="139">
        <f t="shared" si="1"/>
        <v>620.2375000000001</v>
      </c>
      <c r="J48" s="139">
        <f t="shared" si="1"/>
        <v>1860.7124999999999</v>
      </c>
      <c r="K48" s="139">
        <f t="shared" si="1"/>
        <v>3721.4249999999997</v>
      </c>
      <c r="L48" s="149">
        <f t="shared" si="1"/>
        <v>6202.375</v>
      </c>
      <c r="M48" s="208"/>
      <c r="O48" s="36" t="s">
        <v>338</v>
      </c>
      <c r="P48" s="139">
        <f t="shared" si="2"/>
        <v>0.8487104236596205</v>
      </c>
      <c r="Q48" s="139">
        <f t="shared" si="2"/>
        <v>2.5461312709788615</v>
      </c>
      <c r="R48" s="139">
        <f t="shared" si="2"/>
        <v>5.092262541957723</v>
      </c>
      <c r="S48" s="149">
        <f t="shared" si="2"/>
        <v>8.487104236596204</v>
      </c>
    </row>
    <row r="49" spans="1:19" ht="12.75" customHeight="1">
      <c r="A49" s="166" t="s">
        <v>174</v>
      </c>
      <c r="B49" s="139">
        <f t="shared" si="0"/>
        <v>97.28399437539689</v>
      </c>
      <c r="C49" s="139">
        <f t="shared" si="0"/>
        <v>291.8519831261907</v>
      </c>
      <c r="D49" s="139">
        <f t="shared" si="0"/>
        <v>583.7039662523814</v>
      </c>
      <c r="E49" s="149">
        <f t="shared" si="0"/>
        <v>972.839943753969</v>
      </c>
      <c r="F49" s="208"/>
      <c r="G49" s="9"/>
      <c r="H49" s="166" t="s">
        <v>174</v>
      </c>
      <c r="I49" s="139">
        <f t="shared" si="1"/>
        <v>90.33999999999999</v>
      </c>
      <c r="J49" s="139">
        <f t="shared" si="1"/>
        <v>271.02000000000004</v>
      </c>
      <c r="K49" s="139">
        <f t="shared" si="1"/>
        <v>542.0400000000001</v>
      </c>
      <c r="L49" s="149">
        <f t="shared" si="1"/>
        <v>903.4000000000001</v>
      </c>
      <c r="M49" s="208"/>
      <c r="O49" s="166" t="s">
        <v>174</v>
      </c>
      <c r="P49" s="139">
        <f t="shared" si="2"/>
        <v>13.887988750793786</v>
      </c>
      <c r="Q49" s="139">
        <f t="shared" si="2"/>
        <v>41.663966252381364</v>
      </c>
      <c r="R49" s="139">
        <f t="shared" si="2"/>
        <v>83.32793250476273</v>
      </c>
      <c r="S49" s="149">
        <f t="shared" si="2"/>
        <v>138.87988750793787</v>
      </c>
    </row>
    <row r="50" spans="1:19" ht="12.75" customHeight="1">
      <c r="A50" s="204" t="s">
        <v>9</v>
      </c>
      <c r="B50" s="177" t="s">
        <v>21</v>
      </c>
      <c r="C50" s="177" t="s">
        <v>18</v>
      </c>
      <c r="D50" s="177" t="s">
        <v>19</v>
      </c>
      <c r="E50" s="178" t="s">
        <v>20</v>
      </c>
      <c r="F50" s="238"/>
      <c r="G50" s="9"/>
      <c r="H50" s="204" t="s">
        <v>9</v>
      </c>
      <c r="I50" s="177" t="s">
        <v>21</v>
      </c>
      <c r="J50" s="177" t="s">
        <v>18</v>
      </c>
      <c r="K50" s="177" t="s">
        <v>19</v>
      </c>
      <c r="L50" s="178" t="s">
        <v>20</v>
      </c>
      <c r="M50" s="238"/>
      <c r="O50" s="204" t="s">
        <v>9</v>
      </c>
      <c r="P50" s="177" t="s">
        <v>21</v>
      </c>
      <c r="Q50" s="177" t="s">
        <v>18</v>
      </c>
      <c r="R50" s="177" t="s">
        <v>19</v>
      </c>
      <c r="S50" s="178" t="s">
        <v>20</v>
      </c>
    </row>
    <row r="51" spans="1:19" ht="12.75">
      <c r="A51" s="36" t="s">
        <v>153</v>
      </c>
      <c r="B51" s="199">
        <f>(Inputs!$B$40*'Cost Data'!$D$38*2000)-(B52+B53)</f>
        <v>2250.0000000000005</v>
      </c>
      <c r="C51" s="199">
        <f>(Inputs!$B$41*'Cost Data'!$D$38*2000)-(C52+C53)</f>
        <v>6749.999999999999</v>
      </c>
      <c r="D51" s="199">
        <f>(Inputs!$B$42*'Cost Data'!$D$38*2000)-(D52+D53)</f>
        <v>13499.999999999998</v>
      </c>
      <c r="E51" s="200">
        <f>(Inputs!$B$43*'Cost Data'!$D$38*2000)-(E52+E53)</f>
        <v>22500</v>
      </c>
      <c r="F51" s="241"/>
      <c r="G51" s="9"/>
      <c r="H51" s="36" t="s">
        <v>153</v>
      </c>
      <c r="I51" s="199">
        <f>(Inputs!$B$40*'Cost Data'!$D$38*2000)-(I52+I53)</f>
        <v>2250.0000000000005</v>
      </c>
      <c r="J51" s="199">
        <f>(Inputs!$B$41*'Cost Data'!$D$38*2000)-(J52+J53)</f>
        <v>6749.999999999999</v>
      </c>
      <c r="K51" s="199">
        <f>(Inputs!$B$42*'Cost Data'!$D$38*2000)-(K52+K53)</f>
        <v>13499.999999999998</v>
      </c>
      <c r="L51" s="200">
        <f>(Inputs!$B$43*'Cost Data'!$D$38*2000)-(L52+L53)</f>
        <v>22500</v>
      </c>
      <c r="M51" s="241"/>
      <c r="O51" s="36" t="s">
        <v>153</v>
      </c>
      <c r="P51" s="195">
        <v>0</v>
      </c>
      <c r="Q51" s="195">
        <v>0</v>
      </c>
      <c r="R51" s="195">
        <v>0</v>
      </c>
      <c r="S51" s="196">
        <v>0</v>
      </c>
    </row>
    <row r="52" spans="1:19" ht="12.75">
      <c r="A52" s="49" t="s">
        <v>154</v>
      </c>
      <c r="B52" s="195">
        <f>IF(Lookup!$C$4="Yes",'Cost Calculator'!B$21/Inputs!$B$49*2000,0)</f>
        <v>2249.9999999999995</v>
      </c>
      <c r="C52" s="195">
        <f>IF(Lookup!$C$4="Yes",'Cost Calculator'!C$21/Inputs!$B$49*2000,0)</f>
        <v>6749.999999999999</v>
      </c>
      <c r="D52" s="195">
        <f>IF(Lookup!$C$4="Yes",'Cost Calculator'!D$21/Inputs!$B$49*2000,0)</f>
        <v>13499.999999999998</v>
      </c>
      <c r="E52" s="196">
        <f>IF(Lookup!$C$4="Yes",'Cost Calculator'!E$21/Inputs!$B$49*2000,0)</f>
        <v>22500</v>
      </c>
      <c r="F52" s="208"/>
      <c r="G52" s="9"/>
      <c r="H52" s="49" t="s">
        <v>154</v>
      </c>
      <c r="I52" s="195">
        <v>0</v>
      </c>
      <c r="J52" s="195">
        <v>0</v>
      </c>
      <c r="K52" s="195">
        <v>0</v>
      </c>
      <c r="L52" s="196">
        <v>0</v>
      </c>
      <c r="M52" s="208"/>
      <c r="O52" s="49" t="s">
        <v>154</v>
      </c>
      <c r="P52" s="195">
        <f>IF(Lookup!$C$4="Yes",SUM(I51:I53),0)</f>
        <v>4500</v>
      </c>
      <c r="Q52" s="195">
        <f>IF(Lookup!$C$4="Yes",SUM(J51:J53),0)</f>
        <v>13499.999999999998</v>
      </c>
      <c r="R52" s="195">
        <f>IF(Lookup!$C$4="Yes",SUM(K51:K53),0)</f>
        <v>26999.999999999996</v>
      </c>
      <c r="S52" s="196">
        <f>IF(Lookup!$C$4="Yes",SUM(L51:L53),0)</f>
        <v>45000</v>
      </c>
    </row>
    <row r="53" spans="1:19" ht="13.5" thickBot="1">
      <c r="A53" s="113" t="s">
        <v>155</v>
      </c>
      <c r="B53" s="197">
        <f>IF(Lookup!$C$4="No",'Cost Calculator'!B$21/VLOOKUP(Lookup!$I$9,'Cost Data'!$A$4:$C$10,3)*2000,0)</f>
        <v>0</v>
      </c>
      <c r="C53" s="197">
        <f>IF(Lookup!$C$4="No",'Cost Calculator'!C$21/VLOOKUP(Lookup!$I$9,'Cost Data'!$A$4:$C$10,3)*2000,0)</f>
        <v>0</v>
      </c>
      <c r="D53" s="197">
        <f>IF(Lookup!$C$4="No",'Cost Calculator'!D$21/VLOOKUP(Lookup!$I$9,'Cost Data'!$A$4:$C$10,3)*2000,0)</f>
        <v>0</v>
      </c>
      <c r="E53" s="198">
        <f>IF(Lookup!$C$4="No",'Cost Calculator'!E$21/VLOOKUP(Lookup!$I$9,'Cost Data'!$A$4:$C$10,3)*2000,0)</f>
        <v>0</v>
      </c>
      <c r="F53" s="208"/>
      <c r="G53" s="9"/>
      <c r="H53" s="113" t="s">
        <v>155</v>
      </c>
      <c r="I53" s="197">
        <f>B52+B53</f>
        <v>2249.9999999999995</v>
      </c>
      <c r="J53" s="197">
        <f>C52+C53</f>
        <v>6749.999999999999</v>
      </c>
      <c r="K53" s="197">
        <f>D52+D53</f>
        <v>13499.999999999998</v>
      </c>
      <c r="L53" s="198">
        <f>E52+E53</f>
        <v>22500</v>
      </c>
      <c r="M53" s="208"/>
      <c r="O53" s="113" t="s">
        <v>155</v>
      </c>
      <c r="P53" s="197">
        <f>IF(Lookup!$C$4="No",SUM(I51:I53),0)</f>
        <v>0</v>
      </c>
      <c r="Q53" s="197">
        <f>IF(Lookup!$C$4="No",SUM(J51:J53),0)</f>
        <v>0</v>
      </c>
      <c r="R53" s="197">
        <f>IF(Lookup!$C$4="No",SUM(K51:K53),0)</f>
        <v>0</v>
      </c>
      <c r="S53" s="198">
        <f>IF(Lookup!$C$4="No",SUM(L51:L53),0)</f>
        <v>0</v>
      </c>
    </row>
    <row r="54" spans="1:19" ht="13.5" hidden="1" thickBot="1">
      <c r="A54" s="168" t="s">
        <v>237</v>
      </c>
      <c r="B54" s="169"/>
      <c r="C54" s="169"/>
      <c r="D54" s="169"/>
      <c r="E54" s="170"/>
      <c r="F54" s="208"/>
      <c r="G54" s="9"/>
      <c r="H54" s="168" t="s">
        <v>237</v>
      </c>
      <c r="I54" s="169"/>
      <c r="J54" s="169"/>
      <c r="K54" s="169"/>
      <c r="L54" s="170"/>
      <c r="M54" s="208"/>
      <c r="O54" s="168" t="s">
        <v>237</v>
      </c>
      <c r="P54" s="169"/>
      <c r="Q54" s="169"/>
      <c r="R54" s="169"/>
      <c r="S54" s="170"/>
    </row>
    <row r="55" spans="1:19" ht="12.75" hidden="1">
      <c r="A55" s="229" t="s">
        <v>156</v>
      </c>
      <c r="B55" s="146">
        <f>(SUM(B$51:B$52))*'Env Data'!$J$9/2000</f>
        <v>94.5</v>
      </c>
      <c r="C55" s="146">
        <f>(SUM(C$51:C$52))*'Env Data'!$J$9/2000</f>
        <v>283.49999999999994</v>
      </c>
      <c r="D55" s="146">
        <f>(SUM(D$51:D$52))*'Env Data'!$J$9/2000</f>
        <v>566.9999999999999</v>
      </c>
      <c r="E55" s="151">
        <f>(SUM(E$51:E$52))*'Env Data'!$J$9/2000</f>
        <v>945</v>
      </c>
      <c r="F55" s="240"/>
      <c r="G55" s="9"/>
      <c r="H55" s="114" t="s">
        <v>156</v>
      </c>
      <c r="I55" s="123">
        <f>(SUM(I$51:I$52))*'Env Data'!$J$9/2000</f>
        <v>47.25000000000001</v>
      </c>
      <c r="J55" s="123">
        <f>(SUM(J$51:J$52))*'Env Data'!$J$9/2000</f>
        <v>141.74999999999997</v>
      </c>
      <c r="K55" s="123">
        <f>(SUM(K$51:K$52))*'Env Data'!$J$9/2000</f>
        <v>283.49999999999994</v>
      </c>
      <c r="L55" s="151">
        <f>(SUM(L$51:L$52))*'Env Data'!$J$9/2000</f>
        <v>472.5</v>
      </c>
      <c r="M55" s="240"/>
      <c r="O55" s="114" t="s">
        <v>156</v>
      </c>
      <c r="P55" s="123">
        <f>(SUM(P$51:P$52))*'Env Data'!$J$9/2000</f>
        <v>94.5</v>
      </c>
      <c r="Q55" s="123">
        <f>(SUM(Q$51:Q$52))*'Env Data'!$J$9/2000</f>
        <v>283.49999999999994</v>
      </c>
      <c r="R55" s="123">
        <f>(SUM(R$51:R$52))*'Env Data'!$J$9/2000</f>
        <v>566.9999999999999</v>
      </c>
      <c r="S55" s="151">
        <f>(SUM(S$51:S$52))*'Env Data'!$J$9/2000</f>
        <v>945</v>
      </c>
    </row>
    <row r="56" spans="1:19" ht="12.75" hidden="1">
      <c r="A56" s="36" t="s">
        <v>178</v>
      </c>
      <c r="B56" s="134">
        <f>(SUM(B$51:B$52))*'Env Data'!$H$9/2000</f>
        <v>4738.5</v>
      </c>
      <c r="C56" s="134">
        <f>(SUM(C$51:C$52))*'Env Data'!$H$9/2000</f>
        <v>14215.499999999998</v>
      </c>
      <c r="D56" s="134">
        <f>(SUM(D$51:D$52))*'Env Data'!$H$9/2000</f>
        <v>28430.999999999996</v>
      </c>
      <c r="E56" s="140">
        <f>(SUM(E$51:E$52))*'Env Data'!$H$9/2000</f>
        <v>47385</v>
      </c>
      <c r="F56" s="240"/>
      <c r="G56" s="9"/>
      <c r="H56" s="36" t="s">
        <v>178</v>
      </c>
      <c r="I56" s="134">
        <f>(SUM(I$51:I$52))*'Env Data'!$H$9/2000</f>
        <v>2369.2500000000005</v>
      </c>
      <c r="J56" s="134">
        <f>(SUM(J$51:J$52))*'Env Data'!$H$9/2000</f>
        <v>7107.749999999999</v>
      </c>
      <c r="K56" s="134">
        <f>(SUM(K$51:K$52))*'Env Data'!$H$9/2000</f>
        <v>14215.499999999998</v>
      </c>
      <c r="L56" s="140">
        <f>(SUM(L$51:L$52))*'Env Data'!$H$9/2000</f>
        <v>23692.5</v>
      </c>
      <c r="M56" s="240"/>
      <c r="O56" s="36" t="s">
        <v>178</v>
      </c>
      <c r="P56" s="134">
        <f>(SUM(P$51:P$52))*'Env Data'!$H$9/2000</f>
        <v>4738.5</v>
      </c>
      <c r="Q56" s="134">
        <f>(SUM(Q$51:Q$52))*'Env Data'!$H$9/2000</f>
        <v>14215.499999999998</v>
      </c>
      <c r="R56" s="134">
        <f>(SUM(R$51:R$52))*'Env Data'!$H$9/2000</f>
        <v>28430.999999999996</v>
      </c>
      <c r="S56" s="140">
        <f>(SUM(S$51:S$52))*'Env Data'!$H$9/2000</f>
        <v>47385</v>
      </c>
    </row>
    <row r="57" spans="1:19" ht="25.5" customHeight="1" hidden="1">
      <c r="A57" s="152" t="s">
        <v>242</v>
      </c>
      <c r="B57" s="134">
        <f>((SUM(B$51:B$52))/2000)*'Env Data'!$G$9/1000*'Cost Data'!$D$46</f>
        <v>1000.99863</v>
      </c>
      <c r="C57" s="134">
        <f>((SUM(C$51:C$52))/2000)*'Env Data'!$G$9/1000*'Cost Data'!$D$46</f>
        <v>3002.9958899999997</v>
      </c>
      <c r="D57" s="134">
        <f>((SUM(D$51:D$52))/2000)*'Env Data'!$G$9/1000*'Cost Data'!$D$46</f>
        <v>6005.991779999999</v>
      </c>
      <c r="E57" s="140">
        <f>((SUM(E$51:E$52))/2000)*'Env Data'!$G$9/1000*'Cost Data'!$D$46</f>
        <v>10009.9863</v>
      </c>
      <c r="F57" s="240"/>
      <c r="G57" s="9"/>
      <c r="H57" s="152" t="s">
        <v>242</v>
      </c>
      <c r="I57" s="134">
        <f>((SUM(I$51:I$52))/2000)*'Env Data'!$G$9/1000*'Cost Data'!$D$46</f>
        <v>500.49931500000014</v>
      </c>
      <c r="J57" s="134">
        <f>((SUM(J$51:J$52))/2000)*'Env Data'!$G$9/1000*'Cost Data'!$D$46</f>
        <v>1501.4979449999998</v>
      </c>
      <c r="K57" s="134">
        <f>((SUM(K$51:K$52))/2000)*'Env Data'!$G$9/1000*'Cost Data'!$D$46</f>
        <v>3002.9958899999997</v>
      </c>
      <c r="L57" s="140">
        <f>((SUM(L$51:L$52))/2000)*'Env Data'!$G$9/1000*'Cost Data'!$D$46</f>
        <v>5004.99315</v>
      </c>
      <c r="M57" s="240"/>
      <c r="O57" s="152" t="s">
        <v>242</v>
      </c>
      <c r="P57" s="134">
        <f>((SUM(P$51:P$52))/2000)*'Env Data'!$G$9/1000*'Cost Data'!$D$46</f>
        <v>1000.99863</v>
      </c>
      <c r="Q57" s="134">
        <f>((SUM(Q$51:Q$52))/2000)*'Env Data'!$G$9/1000*'Cost Data'!$D$46</f>
        <v>3002.9958899999997</v>
      </c>
      <c r="R57" s="134">
        <f>((SUM(R$51:R$52))/2000)*'Env Data'!$G$9/1000*'Cost Data'!$D$46</f>
        <v>6005.991779999999</v>
      </c>
      <c r="S57" s="140">
        <f>((SUM(S$51:S$52))/2000)*'Env Data'!$G$9/1000*'Cost Data'!$D$46</f>
        <v>10009.9863</v>
      </c>
    </row>
    <row r="58" spans="1:19" ht="12.75" hidden="1">
      <c r="A58" s="36" t="s">
        <v>179</v>
      </c>
      <c r="B58" s="134">
        <f>(SUM(B$51:B$52))*'Env Data'!$B$9/2000</f>
        <v>101.25</v>
      </c>
      <c r="C58" s="134">
        <f>(SUM(C$51:C$52))*'Env Data'!$B$9/2000</f>
        <v>303.74999999999994</v>
      </c>
      <c r="D58" s="134">
        <f>(SUM(D$51:D$52))*'Env Data'!$B$9/2000</f>
        <v>607.4999999999999</v>
      </c>
      <c r="E58" s="140">
        <f>(SUM(E$51:E$52))*'Env Data'!$B$9/2000</f>
        <v>1012.5</v>
      </c>
      <c r="F58" s="240"/>
      <c r="G58" s="9"/>
      <c r="H58" s="36" t="s">
        <v>179</v>
      </c>
      <c r="I58" s="134">
        <f>(SUM(I$51:I$52))*'Env Data'!$B$9/2000</f>
        <v>50.62500000000001</v>
      </c>
      <c r="J58" s="134">
        <f>(SUM(J$51:J$52))*'Env Data'!$B$9/2000</f>
        <v>151.87499999999997</v>
      </c>
      <c r="K58" s="134">
        <f>(SUM(K$51:K$52))*'Env Data'!$B$9/2000</f>
        <v>303.74999999999994</v>
      </c>
      <c r="L58" s="140">
        <f>(SUM(L$51:L$52))*'Env Data'!$B$9/2000</f>
        <v>506.25</v>
      </c>
      <c r="M58" s="240"/>
      <c r="O58" s="36" t="s">
        <v>179</v>
      </c>
      <c r="P58" s="134">
        <f>(SUM(P$51:P$52))*'Env Data'!$B$9/2000</f>
        <v>101.25</v>
      </c>
      <c r="Q58" s="134">
        <f>(SUM(Q$51:Q$52))*'Env Data'!$B$9/2000</f>
        <v>303.74999999999994</v>
      </c>
      <c r="R58" s="134">
        <f>(SUM(R$51:R$52))*'Env Data'!$B$9/2000</f>
        <v>607.4999999999999</v>
      </c>
      <c r="S58" s="140">
        <f>(SUM(S$51:S$52))*'Env Data'!$B$9/2000</f>
        <v>1012.5</v>
      </c>
    </row>
    <row r="59" spans="1:19" ht="12.75" hidden="1">
      <c r="A59" s="36" t="s">
        <v>212</v>
      </c>
      <c r="B59" s="134">
        <f>(SUM(B$51:B$52))*'Env Data'!$C$9/2000</f>
        <v>51.75</v>
      </c>
      <c r="C59" s="134">
        <f>(SUM(C$51:C$52))*'Env Data'!$C$9/2000</f>
        <v>155.24999999999997</v>
      </c>
      <c r="D59" s="134">
        <f>(SUM(D$51:D$52))*'Env Data'!$C$9/2000</f>
        <v>310.49999999999994</v>
      </c>
      <c r="E59" s="140">
        <f>(SUM(E$51:E$52))*'Env Data'!$C$9/2000</f>
        <v>517.5</v>
      </c>
      <c r="F59" s="240"/>
      <c r="G59" s="9"/>
      <c r="H59" s="36" t="s">
        <v>212</v>
      </c>
      <c r="I59" s="134">
        <f>(SUM(I$51:I$52))*'Env Data'!$C$9/2000</f>
        <v>25.875000000000004</v>
      </c>
      <c r="J59" s="134">
        <f>(SUM(J$51:J$52))*'Env Data'!$C$9/2000</f>
        <v>77.62499999999999</v>
      </c>
      <c r="K59" s="134">
        <f>(SUM(K$51:K$52))*'Env Data'!$C$9/2000</f>
        <v>155.24999999999997</v>
      </c>
      <c r="L59" s="140">
        <f>(SUM(L$51:L$52))*'Env Data'!$C$9/2000</f>
        <v>258.75</v>
      </c>
      <c r="M59" s="240"/>
      <c r="O59" s="36" t="s">
        <v>212</v>
      </c>
      <c r="P59" s="134">
        <f>(SUM(P$51:P$52))*'Env Data'!$C$9/2000</f>
        <v>51.75</v>
      </c>
      <c r="Q59" s="134">
        <f>(SUM(Q$51:Q$52))*'Env Data'!$C$9/2000</f>
        <v>155.24999999999997</v>
      </c>
      <c r="R59" s="134">
        <f>(SUM(R$51:R$52))*'Env Data'!$C$9/2000</f>
        <v>310.49999999999994</v>
      </c>
      <c r="S59" s="140">
        <f>(SUM(S$51:S$52))*'Env Data'!$C$9/2000</f>
        <v>517.5</v>
      </c>
    </row>
    <row r="60" spans="1:19" ht="15.75" hidden="1">
      <c r="A60" s="36" t="s">
        <v>340</v>
      </c>
      <c r="B60" s="134">
        <f>(SUM(B$51:B$52))*'Env Data'!$D$9/2000</f>
        <v>744.75</v>
      </c>
      <c r="C60" s="134">
        <f>(SUM(C$51:C$52))*'Env Data'!$D$9/2000</f>
        <v>2234.2499999999995</v>
      </c>
      <c r="D60" s="134">
        <f>(SUM(D$51:D$52))*'Env Data'!$D$9/2000</f>
        <v>4468.499999999999</v>
      </c>
      <c r="E60" s="140">
        <f>(SUM(E$51:E$52))*'Env Data'!$D$9/2000</f>
        <v>7447.5</v>
      </c>
      <c r="F60" s="240"/>
      <c r="G60" s="9"/>
      <c r="H60" s="36" t="s">
        <v>340</v>
      </c>
      <c r="I60" s="134">
        <f>(SUM(I$51:I$52))*'Env Data'!$D$9/2000</f>
        <v>372.37500000000006</v>
      </c>
      <c r="J60" s="134">
        <f>(SUM(J$51:J$52))*'Env Data'!$D$9/2000</f>
        <v>1117.1249999999998</v>
      </c>
      <c r="K60" s="134">
        <f>(SUM(K$51:K$52))*'Env Data'!$D$9/2000</f>
        <v>2234.2499999999995</v>
      </c>
      <c r="L60" s="140">
        <f>(SUM(L$51:L$52))*'Env Data'!$D$9/2000</f>
        <v>3723.75</v>
      </c>
      <c r="M60" s="240"/>
      <c r="O60" s="36" t="s">
        <v>340</v>
      </c>
      <c r="P60" s="134">
        <f>(SUM(P$51:P$52))*'Env Data'!$D$9/2000</f>
        <v>744.75</v>
      </c>
      <c r="Q60" s="134">
        <f>(SUM(Q$51:Q$52))*'Env Data'!$D$9/2000</f>
        <v>2234.2499999999995</v>
      </c>
      <c r="R60" s="134">
        <f>(SUM(R$51:R$52))*'Env Data'!$D$9/2000</f>
        <v>4468.499999999999</v>
      </c>
      <c r="S60" s="140">
        <f>(SUM(S$51:S$52))*'Env Data'!$D$9/2000</f>
        <v>7447.5</v>
      </c>
    </row>
    <row r="61" spans="1:19" ht="15.75" hidden="1">
      <c r="A61" s="36" t="s">
        <v>338</v>
      </c>
      <c r="B61" s="134">
        <f>(SUM(B$51:B$52))*'Env Data'!$E$9/2000</f>
        <v>4495.5</v>
      </c>
      <c r="C61" s="134">
        <f>(SUM(C$51:C$52))*'Env Data'!$E$9/2000</f>
        <v>13486.499999999998</v>
      </c>
      <c r="D61" s="134">
        <f>(SUM(D$51:D$52))*'Env Data'!$E$9/2000</f>
        <v>26972.999999999996</v>
      </c>
      <c r="E61" s="140">
        <f>(SUM(E$51:E$52))*'Env Data'!$E$9/2000</f>
        <v>44955</v>
      </c>
      <c r="F61" s="240"/>
      <c r="G61" s="9"/>
      <c r="H61" s="36" t="s">
        <v>338</v>
      </c>
      <c r="I61" s="134">
        <f>(SUM(I$51:I$52))*'Env Data'!$E$9/2000</f>
        <v>2247.7500000000005</v>
      </c>
      <c r="J61" s="134">
        <f>(SUM(J$51:J$52))*'Env Data'!$E$9/2000</f>
        <v>6743.249999999999</v>
      </c>
      <c r="K61" s="134">
        <f>(SUM(K$51:K$52))*'Env Data'!$E$9/2000</f>
        <v>13486.499999999998</v>
      </c>
      <c r="L61" s="140">
        <f>(SUM(L$51:L$52))*'Env Data'!$E$9/2000</f>
        <v>22477.5</v>
      </c>
      <c r="M61" s="240"/>
      <c r="O61" s="36" t="s">
        <v>338</v>
      </c>
      <c r="P61" s="134">
        <f>(SUM(P$51:P$52))*'Env Data'!$E$9/2000</f>
        <v>4495.5</v>
      </c>
      <c r="Q61" s="134">
        <f>(SUM(Q$51:Q$52))*'Env Data'!$E$9/2000</f>
        <v>13486.499999999998</v>
      </c>
      <c r="R61" s="134">
        <f>(SUM(R$51:R$52))*'Env Data'!$E$9/2000</f>
        <v>26972.999999999996</v>
      </c>
      <c r="S61" s="140">
        <f>(SUM(S$51:S$52))*'Env Data'!$E$9/2000</f>
        <v>44955</v>
      </c>
    </row>
    <row r="62" spans="1:19" ht="13.5" hidden="1" thickBot="1">
      <c r="A62" s="166" t="s">
        <v>174</v>
      </c>
      <c r="B62" s="171">
        <f>(SUM(B$51:B$52))*'Env Data'!$F$9/2000</f>
        <v>3172.5</v>
      </c>
      <c r="C62" s="171">
        <f>(SUM(C$51:C$52))*'Env Data'!$F$9/2000</f>
        <v>9517.499999999998</v>
      </c>
      <c r="D62" s="171">
        <f>(SUM(D$51:D$52))*'Env Data'!$F$9/2000</f>
        <v>19034.999999999996</v>
      </c>
      <c r="E62" s="172">
        <f>(SUM(E$51:E$52))*'Env Data'!$F$9/2000</f>
        <v>31725</v>
      </c>
      <c r="F62" s="240"/>
      <c r="G62" s="9"/>
      <c r="H62" s="36" t="s">
        <v>174</v>
      </c>
      <c r="I62" s="134">
        <f>(SUM(I$51:I$52))*'Env Data'!$F$9/2000</f>
        <v>1586.2500000000002</v>
      </c>
      <c r="J62" s="134">
        <f>(SUM(J$51:J$52))*'Env Data'!$F$9/2000</f>
        <v>4758.749999999999</v>
      </c>
      <c r="K62" s="134">
        <f>(SUM(K$51:K$52))*'Env Data'!$F$9/2000</f>
        <v>9517.499999999998</v>
      </c>
      <c r="L62" s="140">
        <f>(SUM(L$51:L$52))*'Env Data'!$F$9/2000</f>
        <v>15862.5</v>
      </c>
      <c r="M62" s="240"/>
      <c r="O62" s="36" t="s">
        <v>174</v>
      </c>
      <c r="P62" s="134">
        <f>(SUM(P$51:P$52))*'Env Data'!$F$9/2000</f>
        <v>3172.5</v>
      </c>
      <c r="Q62" s="134">
        <f>(SUM(Q$51:Q$52))*'Env Data'!$F$9/2000</f>
        <v>9517.499999999998</v>
      </c>
      <c r="R62" s="134">
        <f>(SUM(R$51:R$52))*'Env Data'!$F$9/2000</f>
        <v>19034.999999999996</v>
      </c>
      <c r="S62" s="140">
        <f>(SUM(S$51:S$52))*'Env Data'!$F$9/2000</f>
        <v>31725</v>
      </c>
    </row>
    <row r="63" spans="1:19" ht="13.5" hidden="1" thickBot="1">
      <c r="A63" s="173" t="s">
        <v>239</v>
      </c>
      <c r="B63" s="174"/>
      <c r="C63" s="174"/>
      <c r="D63" s="174"/>
      <c r="E63" s="175"/>
      <c r="F63" s="240"/>
      <c r="G63" s="9"/>
      <c r="H63" s="173" t="s">
        <v>239</v>
      </c>
      <c r="I63" s="174"/>
      <c r="J63" s="174"/>
      <c r="K63" s="174"/>
      <c r="L63" s="175"/>
      <c r="M63" s="240"/>
      <c r="O63" s="173" t="s">
        <v>239</v>
      </c>
      <c r="P63" s="174"/>
      <c r="Q63" s="174"/>
      <c r="R63" s="174"/>
      <c r="S63" s="175"/>
    </row>
    <row r="64" spans="1:19" ht="25.5" customHeight="1" hidden="1">
      <c r="A64" s="152" t="s">
        <v>242</v>
      </c>
      <c r="B64" s="138">
        <f>ROUNDUP(((B$51/2000)/Inputs!$B$58)/'Env Data'!$H$34,0)*'Env Data'!$G$31/1000*'Cost Data'!$D$46*Inputs!$B$57*Inputs!$B$58</f>
        <v>185.803688</v>
      </c>
      <c r="C64" s="138">
        <f>ROUNDUP(((C$51/2000)/Inputs!$B$59)/'Env Data'!$H$34,0)*'Env Data'!$G$31/1000*'Cost Data'!$D$46*Inputs!$B$57*Inputs!$B$59</f>
        <v>557.411064</v>
      </c>
      <c r="D64" s="138">
        <f>ROUNDUP(((D$51/2000)/Inputs!$B$60)/'Env Data'!$H$34,0)*'Env Data'!$G$31/1000*'Cost Data'!$D$46*Inputs!$B$57*Inputs!$B$60</f>
        <v>1114.822128</v>
      </c>
      <c r="E64" s="144">
        <f>ROUNDUP(((E$51/2000)/Inputs!$B$61)/'Env Data'!$H$34,0)*'Env Data'!$G$31/1000*'Cost Data'!$D$46*Inputs!$B$57*Inputs!$B$61</f>
        <v>1858.0368799999999</v>
      </c>
      <c r="F64" s="208"/>
      <c r="G64" s="9"/>
      <c r="H64" s="152" t="s">
        <v>242</v>
      </c>
      <c r="I64" s="138">
        <f>ROUNDUP(((I$51/2000)/Inputs!$B$58)/'Env Data'!$H$34,0)*'Env Data'!$G$31/1000*'Cost Data'!$D$46*Inputs!$B$57*Inputs!$B$58</f>
        <v>185.803688</v>
      </c>
      <c r="J64" s="138">
        <f>ROUNDUP(((J$51/2000)/Inputs!$B$59)/'Env Data'!$H$34,0)*'Env Data'!$G$31/1000*'Cost Data'!$D$46*Inputs!$B$57*Inputs!$B$59</f>
        <v>557.411064</v>
      </c>
      <c r="K64" s="138">
        <f>ROUNDUP(((K$51/2000)/Inputs!$B$60)/'Env Data'!$H$34,0)*'Env Data'!$G$31/1000*'Cost Data'!$D$46*Inputs!$B$57*Inputs!$B$60</f>
        <v>1114.822128</v>
      </c>
      <c r="L64" s="144">
        <f>ROUNDUP(((L$51/2000)/Inputs!$B$61)/'Env Data'!$H$34,0)*'Env Data'!$G$31/1000*'Cost Data'!$D$46*Inputs!$B$57*Inputs!$B$61</f>
        <v>1858.0368799999999</v>
      </c>
      <c r="M64" s="208"/>
      <c r="O64" s="152" t="s">
        <v>242</v>
      </c>
      <c r="P64" s="389"/>
      <c r="Q64" s="390"/>
      <c r="R64" s="390"/>
      <c r="S64" s="391"/>
    </row>
    <row r="65" spans="1:19" ht="12.75" hidden="1">
      <c r="A65" s="36" t="s">
        <v>179</v>
      </c>
      <c r="B65" s="141">
        <f>ROUNDUP(((B$51/2000)/Inputs!$B$58)/'Env Data'!$H$34,0)*'Env Data'!$B$31*Inputs!$B$57*Inputs!$B$58</f>
        <v>289.2</v>
      </c>
      <c r="C65" s="141">
        <f>ROUNDUP(((C$51/2000)/Inputs!$B$59)/'Env Data'!$H$34,0)*'Env Data'!$B$31*Inputs!$B$57*Inputs!$B$59</f>
        <v>867.5999999999999</v>
      </c>
      <c r="D65" s="141">
        <f>ROUNDUP(((D$51/2000)/Inputs!$B$60)/'Env Data'!$H$34,0)*'Env Data'!$B$31*Inputs!$B$57*Inputs!$B$60</f>
        <v>1735.1999999999998</v>
      </c>
      <c r="E65" s="143">
        <f>ROUNDUP(((E$51/2000)/Inputs!$B$61)/'Env Data'!$H$34,0)*'Env Data'!$B$31*Inputs!$B$57*Inputs!$B$61</f>
        <v>2892</v>
      </c>
      <c r="F65" s="208"/>
      <c r="G65" s="9"/>
      <c r="H65" s="36" t="s">
        <v>179</v>
      </c>
      <c r="I65" s="141">
        <f>ROUNDUP(((I$51/2000)/Inputs!$B$58)/'Env Data'!$H$34,0)*'Env Data'!$B$31*Inputs!$B$57*Inputs!$B$58</f>
        <v>289.2</v>
      </c>
      <c r="J65" s="141">
        <f>ROUNDUP(((J$51/2000)/Inputs!$B$59)/'Env Data'!$H$34,0)*'Env Data'!$B$31*Inputs!$B$57*Inputs!$B$59</f>
        <v>867.5999999999999</v>
      </c>
      <c r="K65" s="141">
        <f>ROUNDUP(((K$51/2000)/Inputs!$B$60)/'Env Data'!$H$34,0)*'Env Data'!$B$31*Inputs!$B$57*Inputs!$B$60</f>
        <v>1735.1999999999998</v>
      </c>
      <c r="L65" s="143">
        <f>ROUNDUP(((L$51/2000)/Inputs!$B$61)/'Env Data'!$H$34,0)*'Env Data'!$B$31*Inputs!$B$57*Inputs!$B$61</f>
        <v>2892</v>
      </c>
      <c r="M65" s="208"/>
      <c r="O65" s="36" t="s">
        <v>179</v>
      </c>
      <c r="P65" s="392"/>
      <c r="Q65" s="392"/>
      <c r="R65" s="392"/>
      <c r="S65" s="393"/>
    </row>
    <row r="66" spans="1:19" ht="12.75" hidden="1">
      <c r="A66" s="36" t="s">
        <v>212</v>
      </c>
      <c r="B66" s="141">
        <f>ROUNDUP(((B$51/2000)/Inputs!$B$58)/'Env Data'!$H$34,0)*'Env Data'!$C$31*Inputs!$B$57*Inputs!$B$58</f>
        <v>50.449999999999996</v>
      </c>
      <c r="C66" s="141">
        <f>ROUNDUP(((C$51/2000)/Inputs!$B$59)/'Env Data'!$H$34,0)*'Env Data'!$C$31*Inputs!$B$57*Inputs!$B$59</f>
        <v>151.35</v>
      </c>
      <c r="D66" s="141">
        <f>ROUNDUP(((D$51/2000)/Inputs!$B$60)/'Env Data'!$H$34,0)*'Env Data'!$C$31*Inputs!$B$57*Inputs!$B$60</f>
        <v>302.7</v>
      </c>
      <c r="E66" s="143">
        <f>ROUNDUP(((E$51/2000)/Inputs!$B$61)/'Env Data'!$H$34,0)*'Env Data'!$C$31*Inputs!$B$57*Inputs!$B$61</f>
        <v>504.49999999999994</v>
      </c>
      <c r="F66" s="208"/>
      <c r="G66" s="9"/>
      <c r="H66" s="36" t="s">
        <v>212</v>
      </c>
      <c r="I66" s="141">
        <f>ROUNDUP(((I$51/2000)/Inputs!$B$58)/'Env Data'!$H$34,0)*'Env Data'!$C$31*Inputs!$B$57*Inputs!$B$58</f>
        <v>50.449999999999996</v>
      </c>
      <c r="J66" s="141">
        <f>ROUNDUP(((J$51/2000)/Inputs!$B$59)/'Env Data'!$H$34,0)*'Env Data'!$C$31*Inputs!$B$57*Inputs!$B$59</f>
        <v>151.35</v>
      </c>
      <c r="K66" s="141">
        <f>ROUNDUP(((K$51/2000)/Inputs!$B$60)/'Env Data'!$H$34,0)*'Env Data'!$C$31*Inputs!$B$57*Inputs!$B$60</f>
        <v>302.7</v>
      </c>
      <c r="L66" s="143">
        <f>ROUNDUP(((L$51/2000)/Inputs!$B$61)/'Env Data'!$H$34,0)*'Env Data'!$C$31*Inputs!$B$57*Inputs!$B$61</f>
        <v>504.49999999999994</v>
      </c>
      <c r="M66" s="208"/>
      <c r="O66" s="36" t="s">
        <v>212</v>
      </c>
      <c r="P66" s="392"/>
      <c r="Q66" s="392"/>
      <c r="R66" s="392"/>
      <c r="S66" s="393"/>
    </row>
    <row r="67" spans="1:19" ht="15.75" hidden="1">
      <c r="A67" s="36" t="s">
        <v>340</v>
      </c>
      <c r="B67" s="141">
        <f>ROUNDUP(((B$51/2000)/Inputs!$B$58)/'Env Data'!$H$34,0)*'Env Data'!$D$31*Inputs!$B$57*Inputs!$B$58</f>
        <v>1235.75</v>
      </c>
      <c r="C67" s="141">
        <f>ROUNDUP(((C$51/2000)/Inputs!$B$59)/'Env Data'!$H$34,0)*'Env Data'!$D$31*Inputs!$B$57*Inputs!$B$59</f>
        <v>3707.25</v>
      </c>
      <c r="D67" s="141">
        <f>ROUNDUP(((D$51/2000)/Inputs!$B$60)/'Env Data'!$H$34,0)*'Env Data'!$D$31*Inputs!$B$57*Inputs!$B$60</f>
        <v>7414.5</v>
      </c>
      <c r="E67" s="143">
        <f>ROUNDUP(((E$51/2000)/Inputs!$B$61)/'Env Data'!$H$34,0)*'Env Data'!$D$31*Inputs!$B$57*Inputs!$B$61</f>
        <v>12357.5</v>
      </c>
      <c r="F67" s="208"/>
      <c r="G67" s="9"/>
      <c r="H67" s="36" t="s">
        <v>340</v>
      </c>
      <c r="I67" s="141">
        <f>ROUNDUP(((I$51/2000)/Inputs!$B$58)/'Env Data'!$H$34,0)*'Env Data'!$D$31*Inputs!$B$57*Inputs!$B$58</f>
        <v>1235.75</v>
      </c>
      <c r="J67" s="141">
        <f>ROUNDUP(((J$51/2000)/Inputs!$B$59)/'Env Data'!$H$34,0)*'Env Data'!$D$31*Inputs!$B$57*Inputs!$B$59</f>
        <v>3707.25</v>
      </c>
      <c r="K67" s="141">
        <f>ROUNDUP(((K$51/2000)/Inputs!$B$60)/'Env Data'!$H$34,0)*'Env Data'!$D$31*Inputs!$B$57*Inputs!$B$60</f>
        <v>7414.5</v>
      </c>
      <c r="L67" s="143">
        <f>ROUNDUP(((L$51/2000)/Inputs!$B$61)/'Env Data'!$H$34,0)*'Env Data'!$D$31*Inputs!$B$57*Inputs!$B$61</f>
        <v>12357.5</v>
      </c>
      <c r="M67" s="208"/>
      <c r="O67" s="36" t="s">
        <v>340</v>
      </c>
      <c r="P67" s="392"/>
      <c r="Q67" s="392"/>
      <c r="R67" s="392"/>
      <c r="S67" s="393"/>
    </row>
    <row r="68" spans="1:19" ht="15.75" hidden="1">
      <c r="A68" s="36" t="s">
        <v>338</v>
      </c>
      <c r="B68" s="141">
        <f>ROUNDUP(((B$51/2000)/Inputs!$B$58)/'Env Data'!$H$34,0)*'Env Data'!$E$31*Inputs!$B$57*Inputs!$B$58</f>
        <v>18.325</v>
      </c>
      <c r="C68" s="141">
        <f>ROUNDUP(((C$51/2000)/Inputs!$B$59)/'Env Data'!$H$34,0)*'Env Data'!$E$31*Inputs!$B$57*Inputs!$B$59</f>
        <v>54.974999999999994</v>
      </c>
      <c r="D68" s="141">
        <f>ROUNDUP(((D$51/2000)/Inputs!$B$60)/'Env Data'!$H$34,0)*'Env Data'!$E$31*Inputs!$B$57*Inputs!$B$60</f>
        <v>109.94999999999999</v>
      </c>
      <c r="E68" s="143">
        <f>ROUNDUP(((E$51/2000)/Inputs!$B$61)/'Env Data'!$H$34,0)*'Env Data'!$E$31*Inputs!$B$57*Inputs!$B$61</f>
        <v>183.25</v>
      </c>
      <c r="F68" s="208"/>
      <c r="G68" s="9"/>
      <c r="H68" s="36" t="s">
        <v>338</v>
      </c>
      <c r="I68" s="141">
        <f>ROUNDUP(((I$51/2000)/Inputs!$B$58)/'Env Data'!$H$34,0)*'Env Data'!$E$31*Inputs!$B$57*Inputs!$B$58</f>
        <v>18.325</v>
      </c>
      <c r="J68" s="141">
        <f>ROUNDUP(((J$51/2000)/Inputs!$B$59)/'Env Data'!$H$34,0)*'Env Data'!$E$31*Inputs!$B$57*Inputs!$B$59</f>
        <v>54.974999999999994</v>
      </c>
      <c r="K68" s="141">
        <f>ROUNDUP(((K$51/2000)/Inputs!$B$60)/'Env Data'!$H$34,0)*'Env Data'!$E$31*Inputs!$B$57*Inputs!$B$60</f>
        <v>109.94999999999999</v>
      </c>
      <c r="L68" s="143">
        <f>ROUNDUP(((L$51/2000)/Inputs!$B$61)/'Env Data'!$H$34,0)*'Env Data'!$E$31*Inputs!$B$57*Inputs!$B$61</f>
        <v>183.25</v>
      </c>
      <c r="M68" s="208"/>
      <c r="O68" s="36" t="s">
        <v>338</v>
      </c>
      <c r="P68" s="392"/>
      <c r="Q68" s="392"/>
      <c r="R68" s="392"/>
      <c r="S68" s="393"/>
    </row>
    <row r="69" spans="1:19" ht="13.5" hidden="1" thickBot="1">
      <c r="A69" s="113" t="s">
        <v>174</v>
      </c>
      <c r="B69" s="141">
        <f>ROUNDUP(((B$51/2000)/Inputs!$B$58)/'Env Data'!$H$34,0)*'Env Data'!$F$31*Inputs!$B$57*Inputs!$B$58</f>
        <v>33.160000000000004</v>
      </c>
      <c r="C69" s="141">
        <f>ROUNDUP(((C$51/2000)/Inputs!$B$59)/'Env Data'!$H$34,0)*'Env Data'!$F$31*Inputs!$B$57*Inputs!$B$59</f>
        <v>99.48000000000002</v>
      </c>
      <c r="D69" s="141">
        <f>ROUNDUP(((D$51/2000)/Inputs!$B$60)/'Env Data'!$H$34,0)*'Env Data'!$F$31*Inputs!$B$57*Inputs!$B$60</f>
        <v>198.96000000000004</v>
      </c>
      <c r="E69" s="143">
        <f>ROUNDUP(((E$51/2000)/Inputs!$B$61)/'Env Data'!$H$34,0)*'Env Data'!$F$31*Inputs!$B$57*Inputs!$B$61</f>
        <v>331.6</v>
      </c>
      <c r="F69" s="208"/>
      <c r="G69" s="9"/>
      <c r="H69" s="113" t="s">
        <v>174</v>
      </c>
      <c r="I69" s="141">
        <f>ROUNDUP(((I$51/2000)/Inputs!$B$58)/'Env Data'!$H$34,0)*'Env Data'!$F$31*Inputs!$B$57*Inputs!$B$58</f>
        <v>33.160000000000004</v>
      </c>
      <c r="J69" s="141">
        <f>ROUNDUP(((J$51/2000)/Inputs!$B$59)/'Env Data'!$H$34,0)*'Env Data'!$F$31*Inputs!$B$57*Inputs!$B$59</f>
        <v>99.48000000000002</v>
      </c>
      <c r="K69" s="141">
        <f>ROUNDUP(((K$51/2000)/Inputs!$B$60)/'Env Data'!$H$34,0)*'Env Data'!$F$31*Inputs!$B$57*Inputs!$B$60</f>
        <v>198.96000000000004</v>
      </c>
      <c r="L69" s="143">
        <f>ROUNDUP(((L$51/2000)/Inputs!$B$61)/'Env Data'!$H$34,0)*'Env Data'!$F$31*Inputs!$B$57*Inputs!$B$61</f>
        <v>331.6</v>
      </c>
      <c r="M69" s="208"/>
      <c r="O69" s="113" t="s">
        <v>174</v>
      </c>
      <c r="P69" s="402"/>
      <c r="Q69" s="402"/>
      <c r="R69" s="402"/>
      <c r="S69" s="403"/>
    </row>
    <row r="70" spans="1:19" ht="12.75" customHeight="1" hidden="1" thickBot="1">
      <c r="A70" s="168" t="s">
        <v>284</v>
      </c>
      <c r="B70" s="169"/>
      <c r="C70" s="169"/>
      <c r="D70" s="169"/>
      <c r="E70" s="170"/>
      <c r="F70" s="208"/>
      <c r="G70" s="9"/>
      <c r="H70" s="168" t="s">
        <v>284</v>
      </c>
      <c r="I70" s="169"/>
      <c r="J70" s="169"/>
      <c r="K70" s="169"/>
      <c r="L70" s="170"/>
      <c r="M70" s="208"/>
      <c r="O70" s="168" t="s">
        <v>284</v>
      </c>
      <c r="P70" s="205"/>
      <c r="Q70" s="205"/>
      <c r="R70" s="205"/>
      <c r="S70" s="206"/>
    </row>
    <row r="71" spans="1:19" ht="25.5" customHeight="1" hidden="1">
      <c r="A71" s="152" t="s">
        <v>242</v>
      </c>
      <c r="B71" s="139">
        <f>ROUNDUP(((B$51/2000/'Cost Data'!$D$39)/Inputs!$B$53)/'Env Data'!$H$34,0)*'Env Data'!$G$34/1000*'Cost Data'!$D$46*Inputs!$B$15*Inputs!$B$53</f>
        <v>92.901844</v>
      </c>
      <c r="C71" s="139">
        <f>ROUNDUP(((C$51/2000/'Cost Data'!$D$39)/Inputs!$B$54)/'Env Data'!$H$34,0)*'Env Data'!$G$34/1000*'Cost Data'!$D$46*Inputs!$B$15*Inputs!$B$54</f>
        <v>278.705532</v>
      </c>
      <c r="D71" s="139">
        <f>ROUNDUP(((D$51/2000/'Cost Data'!$D$39)/Inputs!$B$55)/'Env Data'!$H$34,0)*'Env Data'!$G$34/1000*'Cost Data'!$D$46*Inputs!$B$15*Inputs!$B$55</f>
        <v>557.411064</v>
      </c>
      <c r="E71" s="144">
        <f>ROUNDUP(((E$51/2000/'Cost Data'!$D$39)/Inputs!$B$56)/'Env Data'!$H$34,0)*'Env Data'!$G$34/1000*'Cost Data'!$D$46*Inputs!$B$15*Inputs!$B$56</f>
        <v>929.0184399999999</v>
      </c>
      <c r="F71" s="208"/>
      <c r="G71" s="9"/>
      <c r="H71" s="152" t="s">
        <v>242</v>
      </c>
      <c r="I71" s="139">
        <f>ROUNDUP(((I$51/2000/'Cost Data'!$D$39)/Inputs!$B$53)/'Env Data'!$H$34,0)*'Env Data'!$G$34/1000*'Cost Data'!$D$46*Inputs!$B$15*Inputs!$B$53</f>
        <v>92.901844</v>
      </c>
      <c r="J71" s="139">
        <f>ROUNDUP(((J$51/2000/'Cost Data'!$D$39)/Inputs!$B$54)/'Env Data'!$H$34,0)*'Env Data'!$G$34/1000*'Cost Data'!$D$46*Inputs!$B$15*Inputs!$B$54</f>
        <v>278.705532</v>
      </c>
      <c r="K71" s="139">
        <f>ROUNDUP(((K$51/2000/'Cost Data'!$D$39)/Inputs!$B$55)/'Env Data'!$H$34,0)*'Env Data'!$G$34/1000*'Cost Data'!$D$46*Inputs!$B$15*Inputs!$B$55</f>
        <v>557.411064</v>
      </c>
      <c r="L71" s="144">
        <f>ROUNDUP(((L$51/2000/'Cost Data'!$D$39)/Inputs!$B$56)/'Env Data'!$H$34,0)*'Env Data'!$G$34/1000*'Cost Data'!$D$46*Inputs!$B$15*Inputs!$B$56</f>
        <v>929.0184399999999</v>
      </c>
      <c r="M71" s="208"/>
      <c r="O71" s="152" t="s">
        <v>242</v>
      </c>
      <c r="P71" s="392"/>
      <c r="Q71" s="398"/>
      <c r="R71" s="398"/>
      <c r="S71" s="399"/>
    </row>
    <row r="72" spans="1:19" ht="12.75" customHeight="1" hidden="1">
      <c r="A72" s="36" t="s">
        <v>179</v>
      </c>
      <c r="B72" s="139">
        <f>ROUNDUP(((B$51/2000/'Cost Data'!$D$42*'Cost Data'!$D$43)/Inputs!$B$30)/'Env Data'!$H$34,0)*'Env Data'!$B$34*Inputs!$B$15*Inputs!$B$53</f>
        <v>144.6</v>
      </c>
      <c r="C72" s="139">
        <f>ROUNDUP(((C$51/2000/'Cost Data'!$D$42*'Cost Data'!$D$43)/Inputs!$B$31)/'Env Data'!$H$34,0)*'Env Data'!$B$34*Inputs!$B$15*Inputs!$B$54</f>
        <v>433.79999999999995</v>
      </c>
      <c r="D72" s="139">
        <f>ROUNDUP(((D$51/2000/'Cost Data'!$D$42*'Cost Data'!$D$43)/Inputs!$B$32)/'Env Data'!$H$34,0)*'Env Data'!$B$34*Inputs!$B$15*Inputs!$B$55</f>
        <v>867.5999999999999</v>
      </c>
      <c r="E72" s="149">
        <f>ROUNDUP(((E$51/2000/'Cost Data'!$D$42*'Cost Data'!$D$43)/Inputs!$B$33)/'Env Data'!$H$34,0)*'Env Data'!$B$34*Inputs!$B$15*Inputs!$B$56</f>
        <v>1446</v>
      </c>
      <c r="F72" s="208"/>
      <c r="G72" s="9"/>
      <c r="H72" s="36" t="s">
        <v>179</v>
      </c>
      <c r="I72" s="139">
        <f>ROUNDUP(((I$51/2000/'Cost Data'!$D$42*'Cost Data'!$D$43)/Inputs!$B$30)/'Env Data'!$H$34,0)*'Env Data'!$B$34*Inputs!$B$15*Inputs!$B$53</f>
        <v>144.6</v>
      </c>
      <c r="J72" s="139">
        <f>ROUNDUP(((J$51/2000/'Cost Data'!$D$42*'Cost Data'!$D$43)/Inputs!$B$31)/'Env Data'!$H$34,0)*'Env Data'!$B$34*Inputs!$B$15*Inputs!$B$54</f>
        <v>433.79999999999995</v>
      </c>
      <c r="K72" s="139">
        <f>ROUNDUP(((K$51/2000/'Cost Data'!$D$42*'Cost Data'!$D$43)/Inputs!$B$32)/'Env Data'!$H$34,0)*'Env Data'!$B$34*Inputs!$B$15*Inputs!$B$55</f>
        <v>867.5999999999999</v>
      </c>
      <c r="L72" s="149">
        <f>ROUNDUP(((L$51/2000/'Cost Data'!$D$42*'Cost Data'!$D$43)/Inputs!$B$33)/'Env Data'!$H$34,0)*'Env Data'!$B$34*Inputs!$B$15*Inputs!$B$56</f>
        <v>1446</v>
      </c>
      <c r="M72" s="208"/>
      <c r="O72" s="36" t="s">
        <v>179</v>
      </c>
      <c r="P72" s="398"/>
      <c r="Q72" s="398"/>
      <c r="R72" s="398"/>
      <c r="S72" s="399"/>
    </row>
    <row r="73" spans="1:19" ht="12.75" customHeight="1" hidden="1">
      <c r="A73" s="36" t="s">
        <v>212</v>
      </c>
      <c r="B73" s="139">
        <f>ROUNDUP(((B$51/2000/'Cost Data'!$D$42*'Cost Data'!$D$43)/Inputs!$B$30)/'Env Data'!$H$34,0)*'Env Data'!$C$34*Inputs!$B$15*Inputs!$B$53</f>
        <v>25.224999999999998</v>
      </c>
      <c r="C73" s="139">
        <f>ROUNDUP(((C$51/2000/'Cost Data'!$D$42*'Cost Data'!$D$43)/Inputs!$B$31)/'Env Data'!$H$34,0)*'Env Data'!$C$34*Inputs!$B$15*Inputs!$B$54</f>
        <v>75.675</v>
      </c>
      <c r="D73" s="139">
        <f>ROUNDUP(((D$51/2000/'Cost Data'!$D$42*'Cost Data'!$D$43)/Inputs!$B$32)/'Env Data'!$H$34,0)*'Env Data'!$C$34*Inputs!$B$15*Inputs!$B$55</f>
        <v>151.35</v>
      </c>
      <c r="E73" s="149">
        <f>ROUNDUP(((E$51/2000/'Cost Data'!$D$42*'Cost Data'!$D$43)/Inputs!$B$33)/'Env Data'!$H$34,0)*'Env Data'!$C$34*Inputs!$B$15*Inputs!$B$56</f>
        <v>252.24999999999997</v>
      </c>
      <c r="F73" s="208"/>
      <c r="G73" s="9"/>
      <c r="H73" s="36" t="s">
        <v>212</v>
      </c>
      <c r="I73" s="139">
        <f>ROUNDUP(((I$51/2000/'Cost Data'!$D$42*'Cost Data'!$D$43)/Inputs!$B$30)/'Env Data'!$H$34,0)*'Env Data'!$C$34*Inputs!$B$15*Inputs!$B$53</f>
        <v>25.224999999999998</v>
      </c>
      <c r="J73" s="139">
        <f>ROUNDUP(((J$51/2000/'Cost Data'!$D$42*'Cost Data'!$D$43)/Inputs!$B$31)/'Env Data'!$H$34,0)*'Env Data'!$C$34*Inputs!$B$15*Inputs!$B$54</f>
        <v>75.675</v>
      </c>
      <c r="K73" s="139">
        <f>ROUNDUP(((K$51/2000/'Cost Data'!$D$42*'Cost Data'!$D$43)/Inputs!$B$32)/'Env Data'!$H$34,0)*'Env Data'!$C$34*Inputs!$B$15*Inputs!$B$55</f>
        <v>151.35</v>
      </c>
      <c r="L73" s="149">
        <f>ROUNDUP(((L$51/2000/'Cost Data'!$D$42*'Cost Data'!$D$43)/Inputs!$B$33)/'Env Data'!$H$34,0)*'Env Data'!$C$34*Inputs!$B$15*Inputs!$B$56</f>
        <v>252.24999999999997</v>
      </c>
      <c r="M73" s="208"/>
      <c r="O73" s="36" t="s">
        <v>212</v>
      </c>
      <c r="P73" s="398"/>
      <c r="Q73" s="398"/>
      <c r="R73" s="398"/>
      <c r="S73" s="399"/>
    </row>
    <row r="74" spans="1:19" ht="12.75" customHeight="1" hidden="1">
      <c r="A74" s="36" t="s">
        <v>340</v>
      </c>
      <c r="B74" s="139">
        <f>ROUNDUP(((B$51/2000/'Cost Data'!$D$42*'Cost Data'!$D$43)/Inputs!$B$30)/'Env Data'!$H$34,0)*'Env Data'!$D$34*Inputs!$B$15*Inputs!$B$53</f>
        <v>617.875</v>
      </c>
      <c r="C74" s="139">
        <f>ROUNDUP(((C$51/2000/'Cost Data'!$D$42*'Cost Data'!$D$43)/Inputs!$B$31)/'Env Data'!$H$34,0)*'Env Data'!$D$34*Inputs!$B$15*Inputs!$B$54</f>
        <v>1853.625</v>
      </c>
      <c r="D74" s="139">
        <f>ROUNDUP(((D$51/2000/'Cost Data'!$D$42*'Cost Data'!$D$43)/Inputs!$B$32)/'Env Data'!$H$34,0)*'Env Data'!$D$34*Inputs!$B$15*Inputs!$B$55</f>
        <v>3707.25</v>
      </c>
      <c r="E74" s="149">
        <f>ROUNDUP(((E$51/2000/'Cost Data'!$D$42*'Cost Data'!$D$43)/Inputs!$B$33)/'Env Data'!$H$34,0)*'Env Data'!$D$34*Inputs!$B$15*Inputs!$B$56</f>
        <v>6178.75</v>
      </c>
      <c r="F74" s="208"/>
      <c r="G74" s="9"/>
      <c r="H74" s="36" t="s">
        <v>340</v>
      </c>
      <c r="I74" s="139">
        <f>ROUNDUP(((I$51/2000/'Cost Data'!$D$42*'Cost Data'!$D$43)/Inputs!$B$30)/'Env Data'!$H$34,0)*'Env Data'!$D$34*Inputs!$B$15*Inputs!$B$53</f>
        <v>617.875</v>
      </c>
      <c r="J74" s="139">
        <f>ROUNDUP(((J$51/2000/'Cost Data'!$D$42*'Cost Data'!$D$43)/Inputs!$B$31)/'Env Data'!$H$34,0)*'Env Data'!$D$34*Inputs!$B$15*Inputs!$B$54</f>
        <v>1853.625</v>
      </c>
      <c r="K74" s="139">
        <f>ROUNDUP(((K$51/2000/'Cost Data'!$D$42*'Cost Data'!$D$43)/Inputs!$B$32)/'Env Data'!$H$34,0)*'Env Data'!$D$34*Inputs!$B$15*Inputs!$B$55</f>
        <v>3707.25</v>
      </c>
      <c r="L74" s="149">
        <f>ROUNDUP(((L$51/2000/'Cost Data'!$D$42*'Cost Data'!$D$43)/Inputs!$B$33)/'Env Data'!$H$34,0)*'Env Data'!$D$34*Inputs!$B$15*Inputs!$B$56</f>
        <v>6178.75</v>
      </c>
      <c r="M74" s="208"/>
      <c r="O74" s="36" t="s">
        <v>340</v>
      </c>
      <c r="P74" s="398"/>
      <c r="Q74" s="398"/>
      <c r="R74" s="398"/>
      <c r="S74" s="399"/>
    </row>
    <row r="75" spans="1:19" ht="12.75" customHeight="1" hidden="1">
      <c r="A75" s="36" t="s">
        <v>338</v>
      </c>
      <c r="B75" s="139">
        <f>ROUNDUP(((B$51/2000/'Cost Data'!$D$42*'Cost Data'!$D$43)/Inputs!$B$30)/'Env Data'!$H$34,0)*'Env Data'!$E$34*Inputs!$B$15*Inputs!$B$53</f>
        <v>9.1625</v>
      </c>
      <c r="C75" s="139">
        <f>ROUNDUP(((C$51/2000/'Cost Data'!$D$42*'Cost Data'!$D$43)/Inputs!$B$31)/'Env Data'!$H$34,0)*'Env Data'!$E$34*Inputs!$B$15*Inputs!$B$54</f>
        <v>27.487499999999997</v>
      </c>
      <c r="D75" s="139">
        <f>ROUNDUP(((D$51/2000/'Cost Data'!$D$42*'Cost Data'!$D$43)/Inputs!$B$32)/'Env Data'!$H$34,0)*'Env Data'!$E$34*Inputs!$B$15*Inputs!$B$55</f>
        <v>54.974999999999994</v>
      </c>
      <c r="E75" s="149">
        <f>ROUNDUP(((E$51/2000/'Cost Data'!$D$42*'Cost Data'!$D$43)/Inputs!$B$33)/'Env Data'!$H$34,0)*'Env Data'!$E$34*Inputs!$B$15*Inputs!$B$56</f>
        <v>91.625</v>
      </c>
      <c r="F75" s="208"/>
      <c r="G75" s="9"/>
      <c r="H75" s="36" t="s">
        <v>338</v>
      </c>
      <c r="I75" s="139">
        <f>ROUNDUP(((I$51/2000/'Cost Data'!$D$42*'Cost Data'!$D$43)/Inputs!$B$30)/'Env Data'!$H$34,0)*'Env Data'!$E$34*Inputs!$B$15*Inputs!$B$53</f>
        <v>9.1625</v>
      </c>
      <c r="J75" s="139">
        <f>ROUNDUP(((J$51/2000/'Cost Data'!$D$42*'Cost Data'!$D$43)/Inputs!$B$31)/'Env Data'!$H$34,0)*'Env Data'!$E$34*Inputs!$B$15*Inputs!$B$54</f>
        <v>27.487499999999997</v>
      </c>
      <c r="K75" s="139">
        <f>ROUNDUP(((K$51/2000/'Cost Data'!$D$42*'Cost Data'!$D$43)/Inputs!$B$32)/'Env Data'!$H$34,0)*'Env Data'!$E$34*Inputs!$B$15*Inputs!$B$55</f>
        <v>54.974999999999994</v>
      </c>
      <c r="L75" s="149">
        <f>ROUNDUP(((L$51/2000/'Cost Data'!$D$42*'Cost Data'!$D$43)/Inputs!$B$33)/'Env Data'!$H$34,0)*'Env Data'!$E$34*Inputs!$B$15*Inputs!$B$56</f>
        <v>91.625</v>
      </c>
      <c r="M75" s="208"/>
      <c r="O75" s="36" t="s">
        <v>338</v>
      </c>
      <c r="P75" s="398"/>
      <c r="Q75" s="398"/>
      <c r="R75" s="398"/>
      <c r="S75" s="399"/>
    </row>
    <row r="76" spans="1:19" ht="12.75" customHeight="1" hidden="1" thickBot="1">
      <c r="A76" s="113" t="s">
        <v>174</v>
      </c>
      <c r="B76" s="139">
        <f>ROUNDUP(((B$51/2000/'Cost Data'!$D$42*'Cost Data'!$D$43)/Inputs!$B$30)/'Env Data'!$H$34,0)*'Env Data'!$F$34*Inputs!$B$15*Inputs!$B$53</f>
        <v>16.580000000000002</v>
      </c>
      <c r="C76" s="139">
        <f>ROUNDUP(((C$51/2000/'Cost Data'!$D$42*'Cost Data'!$D$43)/Inputs!$B$31)/'Env Data'!$H$34,0)*'Env Data'!$F$34*Inputs!$B$15*Inputs!$B$54</f>
        <v>49.74000000000001</v>
      </c>
      <c r="D76" s="139">
        <f>ROUNDUP(((D$51/2000/'Cost Data'!$D$42*'Cost Data'!$D$43)/Inputs!$B$32)/'Env Data'!$H$34,0)*'Env Data'!$F$34*Inputs!$B$15*Inputs!$B$55</f>
        <v>99.48000000000002</v>
      </c>
      <c r="E76" s="149">
        <f>ROUNDUP(((E$51/2000/'Cost Data'!$D$42*'Cost Data'!$D$43)/Inputs!$B$33)/'Env Data'!$H$34,0)*'Env Data'!$F$34*Inputs!$B$15*Inputs!$B$56</f>
        <v>165.8</v>
      </c>
      <c r="F76" s="208"/>
      <c r="G76" s="9"/>
      <c r="H76" s="113" t="s">
        <v>174</v>
      </c>
      <c r="I76" s="139">
        <f>ROUNDUP(((I$51/2000/'Cost Data'!$D$42*'Cost Data'!$D$43)/Inputs!$B$30)/'Env Data'!$H$34,0)*'Env Data'!$F$34*Inputs!$B$15*Inputs!$B$53</f>
        <v>16.580000000000002</v>
      </c>
      <c r="J76" s="139">
        <f>ROUNDUP(((J$51/2000/'Cost Data'!$D$42*'Cost Data'!$D$43)/Inputs!$B$31)/'Env Data'!$H$34,0)*'Env Data'!$F$34*Inputs!$B$15*Inputs!$B$54</f>
        <v>49.74000000000001</v>
      </c>
      <c r="K76" s="139">
        <f>ROUNDUP(((K$51/2000/'Cost Data'!$D$42*'Cost Data'!$D$43)/Inputs!$B$32)/'Env Data'!$H$34,0)*'Env Data'!$F$34*Inputs!$B$15*Inputs!$B$55</f>
        <v>99.48000000000002</v>
      </c>
      <c r="L76" s="149">
        <f>ROUNDUP(((L$51/2000/'Cost Data'!$D$42*'Cost Data'!$D$43)/Inputs!$B$33)/'Env Data'!$H$34,0)*'Env Data'!$F$34*Inputs!$B$15*Inputs!$B$56</f>
        <v>165.8</v>
      </c>
      <c r="M76" s="208"/>
      <c r="O76" s="113" t="s">
        <v>174</v>
      </c>
      <c r="P76" s="398"/>
      <c r="Q76" s="398"/>
      <c r="R76" s="398"/>
      <c r="S76" s="399"/>
    </row>
    <row r="77" spans="1:19" ht="12.75" customHeight="1" hidden="1" thickBot="1">
      <c r="A77" s="168" t="s">
        <v>382</v>
      </c>
      <c r="B77" s="169"/>
      <c r="C77" s="169"/>
      <c r="D77" s="169"/>
      <c r="E77" s="170"/>
      <c r="F77" s="208"/>
      <c r="G77" s="9"/>
      <c r="H77" s="168" t="s">
        <v>382</v>
      </c>
      <c r="I77" s="169"/>
      <c r="J77" s="169"/>
      <c r="K77" s="169"/>
      <c r="L77" s="170"/>
      <c r="M77" s="208"/>
      <c r="O77" s="168" t="s">
        <v>382</v>
      </c>
      <c r="P77" s="205"/>
      <c r="Q77" s="205"/>
      <c r="R77" s="205"/>
      <c r="S77" s="206"/>
    </row>
    <row r="78" spans="1:19" ht="25.5" customHeight="1" hidden="1">
      <c r="A78" s="152" t="s">
        <v>242</v>
      </c>
      <c r="B78" s="139">
        <f>ROUNDUP(((B$52/2000/'Cost Data'!$D$39)/Inputs!$B$53)/'Env Data'!$H$34,0)*'Env Data'!$G$34/1000*'Cost Data'!$D$46*(Inputs!$B$15-Inputs!$B$50)*Inputs!$B$53</f>
        <v>0</v>
      </c>
      <c r="C78" s="139">
        <f>ROUNDUP(((C$52/2000/'Cost Data'!$D$39)/Inputs!$B$54)/'Env Data'!$H$34,0)*'Env Data'!$G$34/1000*'Cost Data'!$D$46*(Inputs!$B$15-Inputs!$B$50)*Inputs!$B$54</f>
        <v>0</v>
      </c>
      <c r="D78" s="139">
        <f>ROUNDUP(((D$52/2000/'Cost Data'!$D$39)/Inputs!$B$55)/'Env Data'!$H$34,0)*'Env Data'!$G$34/1000*'Cost Data'!$D$46*(Inputs!$B$15-Inputs!$B$50)*Inputs!$B$55</f>
        <v>0</v>
      </c>
      <c r="E78" s="144">
        <f>ROUNDUP(((E$52/2000/'Cost Data'!$D$39)/Inputs!$B$56)/'Env Data'!$H$34,0)*'Env Data'!$G$34/1000*'Cost Data'!$D$46*(Inputs!$B$15-Inputs!$B$50)*Inputs!$B$56</f>
        <v>0</v>
      </c>
      <c r="F78" s="208"/>
      <c r="G78" s="9"/>
      <c r="H78" s="152" t="s">
        <v>242</v>
      </c>
      <c r="I78" s="392"/>
      <c r="J78" s="398"/>
      <c r="K78" s="398"/>
      <c r="L78" s="399"/>
      <c r="M78" s="208"/>
      <c r="O78" s="152" t="s">
        <v>242</v>
      </c>
      <c r="P78" s="139">
        <f>ROUNDUP(((P$52/2000/'Cost Data'!$D$39)/Inputs!$B$53)/'Env Data'!$H$34,0)*'Env Data'!$G$34/1000*'Cost Data'!$D$46*(Inputs!$B$15-Inputs!$B$50)*Inputs!$B$53</f>
        <v>0</v>
      </c>
      <c r="Q78" s="139">
        <f>ROUNDUP(((Q$52/2000/'Cost Data'!$D$39)/Inputs!$B$54)/'Env Data'!$H$34,0)*'Env Data'!$G$34/1000*'Cost Data'!$D$46*(Inputs!$B$15-Inputs!$B$50)*Inputs!$B$54</f>
        <v>0</v>
      </c>
      <c r="R78" s="139">
        <f>ROUNDUP(((R$52/2000/'Cost Data'!$D$39)/Inputs!$B$55)/'Env Data'!$H$34,0)*'Env Data'!$G$34/1000*'Cost Data'!$D$46*(Inputs!$B$15-Inputs!$B$50)*Inputs!$B$55</f>
        <v>0</v>
      </c>
      <c r="S78" s="144">
        <f>ROUNDUP(((S$52/2000/'Cost Data'!$D$39)/Inputs!$B$56)/'Env Data'!$H$34,0)*'Env Data'!$G$34/1000*'Cost Data'!$D$46*(Inputs!$B$15-Inputs!$B$50)*Inputs!$B$56</f>
        <v>0</v>
      </c>
    </row>
    <row r="79" spans="1:19" ht="12.75" customHeight="1" hidden="1">
      <c r="A79" s="36" t="s">
        <v>179</v>
      </c>
      <c r="B79" s="139">
        <f>ROUNDUP(((B$52/2000/'Cost Data'!$D$42*'Cost Data'!$D$43)/Inputs!$B$30)/'Env Data'!$H$34,0)*'Env Data'!$B$34*(Inputs!$B$15-Inputs!$B$50)*Inputs!$B$53</f>
        <v>0</v>
      </c>
      <c r="C79" s="139">
        <f>ROUNDUP(((C$52/2000/'Cost Data'!$D$42*'Cost Data'!$D$43)/Inputs!$B$31)/'Env Data'!$H$34,0)*'Env Data'!$B$34*(Inputs!$B$15-Inputs!$B$50)*Inputs!$B$54</f>
        <v>0</v>
      </c>
      <c r="D79" s="139">
        <f>ROUNDUP(((D$52/2000/'Cost Data'!$D$42*'Cost Data'!$D$43)/Inputs!$B$32)/'Env Data'!$H$34,0)*'Env Data'!$B$34*(Inputs!$B$15-Inputs!$B$50)*Inputs!$B$55</f>
        <v>0</v>
      </c>
      <c r="E79" s="149">
        <f>ROUNDUP(((E$52/2000/'Cost Data'!$D$42*'Cost Data'!$D$43)/Inputs!$B$33)/'Env Data'!$H$34,0)*'Env Data'!$B$34*(Inputs!$B$15-Inputs!$B$50)*Inputs!$B$56</f>
        <v>0</v>
      </c>
      <c r="F79" s="208"/>
      <c r="G79" s="9"/>
      <c r="H79" s="36" t="s">
        <v>179</v>
      </c>
      <c r="I79" s="398"/>
      <c r="J79" s="398"/>
      <c r="K79" s="398"/>
      <c r="L79" s="399"/>
      <c r="M79" s="208"/>
      <c r="O79" s="36" t="s">
        <v>179</v>
      </c>
      <c r="P79" s="139">
        <f>ROUNDUP(((P$52/2000/'Cost Data'!$D$42*'Cost Data'!$D$43)/Inputs!$B$30)/'Env Data'!$H$34,0)*'Env Data'!$B$34*(Inputs!$B$15-Inputs!$B$50)*Inputs!$B$53</f>
        <v>0</v>
      </c>
      <c r="Q79" s="139">
        <f>ROUNDUP(((Q$52/2000/'Cost Data'!$D$42*'Cost Data'!$D$43)/Inputs!$B$31)/'Env Data'!$H$34,0)*'Env Data'!$B$34*(Inputs!$B$15-Inputs!$B$50)*Inputs!$B$54</f>
        <v>0</v>
      </c>
      <c r="R79" s="139">
        <f>ROUNDUP(((R$52/2000/'Cost Data'!$D$42*'Cost Data'!$D$43)/Inputs!$B$32)/'Env Data'!$H$34,0)*'Env Data'!$B$34*(Inputs!$B$15-Inputs!$B$50)*Inputs!$B$55</f>
        <v>0</v>
      </c>
      <c r="S79" s="149">
        <f>ROUNDUP(((S$52/2000/'Cost Data'!$D$42*'Cost Data'!$D$43)/Inputs!$B$33)/'Env Data'!$H$34,0)*'Env Data'!$B$34*(Inputs!$B$15-Inputs!$B$50)*Inputs!$B$56</f>
        <v>0</v>
      </c>
    </row>
    <row r="80" spans="1:19" ht="12.75" customHeight="1" hidden="1">
      <c r="A80" s="36" t="s">
        <v>212</v>
      </c>
      <c r="B80" s="139">
        <f>ROUNDUP(((B$52/2000/'Cost Data'!$D$42*'Cost Data'!$D$43)/Inputs!$B$30)/'Env Data'!$H$34,0)*'Env Data'!$C$34*(Inputs!$B$15-Inputs!$B$50)*Inputs!$B$53</f>
        <v>0</v>
      </c>
      <c r="C80" s="139">
        <f>ROUNDUP(((C$52/2000/'Cost Data'!$D$42*'Cost Data'!$D$43)/Inputs!$B$31)/'Env Data'!$H$34,0)*'Env Data'!$C$34*(Inputs!$B$15-Inputs!$B$50)*Inputs!$B$54</f>
        <v>0</v>
      </c>
      <c r="D80" s="139">
        <f>ROUNDUP(((D$52/2000/'Cost Data'!$D$42*'Cost Data'!$D$43)/Inputs!$B$32)/'Env Data'!$H$34,0)*'Env Data'!$C$34*(Inputs!$B$15-Inputs!$B$50)*Inputs!$B$55</f>
        <v>0</v>
      </c>
      <c r="E80" s="149">
        <f>ROUNDUP(((E$52/2000/'Cost Data'!$D$42*'Cost Data'!$D$43)/Inputs!$B$33)/'Env Data'!$H$34,0)*'Env Data'!$C$34*(Inputs!$B$15-Inputs!$B$50)*Inputs!$B$56</f>
        <v>0</v>
      </c>
      <c r="F80" s="208"/>
      <c r="G80" s="9"/>
      <c r="H80" s="36" t="s">
        <v>212</v>
      </c>
      <c r="I80" s="398"/>
      <c r="J80" s="398"/>
      <c r="K80" s="398"/>
      <c r="L80" s="399"/>
      <c r="M80" s="208"/>
      <c r="O80" s="36" t="s">
        <v>212</v>
      </c>
      <c r="P80" s="139">
        <f>ROUNDUP(((P$52/2000/'Cost Data'!$D$42*'Cost Data'!$D$43)/Inputs!$B$30)/'Env Data'!$H$34,0)*'Env Data'!$C$34*(Inputs!$B$15-Inputs!$B$50)*Inputs!$B$53</f>
        <v>0</v>
      </c>
      <c r="Q80" s="139">
        <f>ROUNDUP(((Q$52/2000/'Cost Data'!$D$42*'Cost Data'!$D$43)/Inputs!$B$31)/'Env Data'!$H$34,0)*'Env Data'!$C$34*(Inputs!$B$15-Inputs!$B$50)*Inputs!$B$54</f>
        <v>0</v>
      </c>
      <c r="R80" s="139">
        <f>ROUNDUP(((R$52/2000/'Cost Data'!$D$42*'Cost Data'!$D$43)/Inputs!$B$32)/'Env Data'!$H$34,0)*'Env Data'!$C$34*(Inputs!$B$15-Inputs!$B$50)*Inputs!$B$55</f>
        <v>0</v>
      </c>
      <c r="S80" s="149">
        <f>ROUNDUP(((S$52/2000/'Cost Data'!$D$42*'Cost Data'!$D$43)/Inputs!$B$33)/'Env Data'!$H$34,0)*'Env Data'!$C$34*(Inputs!$B$15-Inputs!$B$50)*Inputs!$B$56</f>
        <v>0</v>
      </c>
    </row>
    <row r="81" spans="1:19" ht="12.75" customHeight="1" hidden="1">
      <c r="A81" s="36" t="s">
        <v>340</v>
      </c>
      <c r="B81" s="139">
        <f>ROUNDUP(((B$52/2000/'Cost Data'!$D$42*'Cost Data'!$D$43)/Inputs!$B$30)/'Env Data'!$H$34,0)*'Env Data'!$D$34*(Inputs!$B$15-Inputs!$B$50)*Inputs!$B$53</f>
        <v>0</v>
      </c>
      <c r="C81" s="139">
        <f>ROUNDUP(((C$52/2000/'Cost Data'!$D$42*'Cost Data'!$D$43)/Inputs!$B$31)/'Env Data'!$H$34,0)*'Env Data'!$D$34*(Inputs!$B$15-Inputs!$B$50)*Inputs!$B$54</f>
        <v>0</v>
      </c>
      <c r="D81" s="139">
        <f>ROUNDUP(((D$52/2000/'Cost Data'!$D$42*'Cost Data'!$D$43)/Inputs!$B$32)/'Env Data'!$H$34,0)*'Env Data'!$D$34*(Inputs!$B$15-Inputs!$B$50)*Inputs!$B$55</f>
        <v>0</v>
      </c>
      <c r="E81" s="149">
        <f>ROUNDUP(((E$52/2000/'Cost Data'!$D$42*'Cost Data'!$D$43)/Inputs!$B$33)/'Env Data'!$H$34,0)*'Env Data'!$D$34*(Inputs!$B$15-Inputs!$B$50)*Inputs!$B$56</f>
        <v>0</v>
      </c>
      <c r="F81" s="208"/>
      <c r="G81" s="9"/>
      <c r="H81" s="36" t="s">
        <v>340</v>
      </c>
      <c r="I81" s="398"/>
      <c r="J81" s="398"/>
      <c r="K81" s="398"/>
      <c r="L81" s="399"/>
      <c r="M81" s="208"/>
      <c r="O81" s="36" t="s">
        <v>340</v>
      </c>
      <c r="P81" s="139">
        <f>ROUNDUP(((P$52/2000/'Cost Data'!$D$42*'Cost Data'!$D$43)/Inputs!$B$30)/'Env Data'!$H$34,0)*'Env Data'!$D$34*(Inputs!$B$15-Inputs!$B$50)*Inputs!$B$53</f>
        <v>0</v>
      </c>
      <c r="Q81" s="139">
        <f>ROUNDUP(((Q$52/2000/'Cost Data'!$D$42*'Cost Data'!$D$43)/Inputs!$B$31)/'Env Data'!$H$34,0)*'Env Data'!$D$34*(Inputs!$B$15-Inputs!$B$50)*Inputs!$B$54</f>
        <v>0</v>
      </c>
      <c r="R81" s="139">
        <f>ROUNDUP(((R$52/2000/'Cost Data'!$D$42*'Cost Data'!$D$43)/Inputs!$B$32)/'Env Data'!$H$34,0)*'Env Data'!$D$34*(Inputs!$B$15-Inputs!$B$50)*Inputs!$B$55</f>
        <v>0</v>
      </c>
      <c r="S81" s="149">
        <f>ROUNDUP(((S$52/2000/'Cost Data'!$D$42*'Cost Data'!$D$43)/Inputs!$B$33)/'Env Data'!$H$34,0)*'Env Data'!$D$34*(Inputs!$B$15-Inputs!$B$50)*Inputs!$B$56</f>
        <v>0</v>
      </c>
    </row>
    <row r="82" spans="1:19" ht="12.75" customHeight="1" hidden="1">
      <c r="A82" s="36" t="s">
        <v>338</v>
      </c>
      <c r="B82" s="139">
        <f>ROUNDUP(((B$52/2000/'Cost Data'!$D$42*'Cost Data'!$D$43)/Inputs!$B$30)/'Env Data'!$H$34,0)*'Env Data'!$E$34*(Inputs!$B$15-Inputs!$B$50)*Inputs!$B$53</f>
        <v>0</v>
      </c>
      <c r="C82" s="139">
        <f>ROUNDUP(((C$52/2000/'Cost Data'!$D$42*'Cost Data'!$D$43)/Inputs!$B$31)/'Env Data'!$H$34,0)*'Env Data'!$E$34*(Inputs!$B$15-Inputs!$B$50)*Inputs!$B$54</f>
        <v>0</v>
      </c>
      <c r="D82" s="139">
        <f>ROUNDUP(((D$52/2000/'Cost Data'!$D$42*'Cost Data'!$D$43)/Inputs!$B$32)/'Env Data'!$H$34,0)*'Env Data'!$E$34*(Inputs!$B$15-Inputs!$B$50)*Inputs!$B$55</f>
        <v>0</v>
      </c>
      <c r="E82" s="149">
        <f>ROUNDUP(((E$52/2000/'Cost Data'!$D$42*'Cost Data'!$D$43)/Inputs!$B$33)/'Env Data'!$H$34,0)*'Env Data'!$E$34*(Inputs!$B$15-Inputs!$B$50)*Inputs!$B$56</f>
        <v>0</v>
      </c>
      <c r="F82" s="208"/>
      <c r="G82" s="9"/>
      <c r="H82" s="36" t="s">
        <v>338</v>
      </c>
      <c r="I82" s="398"/>
      <c r="J82" s="398"/>
      <c r="K82" s="398"/>
      <c r="L82" s="399"/>
      <c r="M82" s="208"/>
      <c r="O82" s="36" t="s">
        <v>338</v>
      </c>
      <c r="P82" s="139">
        <f>ROUNDUP(((P$52/2000/'Cost Data'!$D$42*'Cost Data'!$D$43)/Inputs!$B$30)/'Env Data'!$H$34,0)*'Env Data'!$E$34*(Inputs!$B$15-Inputs!$B$50)*Inputs!$B$53</f>
        <v>0</v>
      </c>
      <c r="Q82" s="139">
        <f>ROUNDUP(((Q$52/2000/'Cost Data'!$D$42*'Cost Data'!$D$43)/Inputs!$B$31)/'Env Data'!$H$34,0)*'Env Data'!$E$34*(Inputs!$B$15-Inputs!$B$50)*Inputs!$B$54</f>
        <v>0</v>
      </c>
      <c r="R82" s="139">
        <f>ROUNDUP(((R$52/2000/'Cost Data'!$D$42*'Cost Data'!$D$43)/Inputs!$B$32)/'Env Data'!$H$34,0)*'Env Data'!$E$34*(Inputs!$B$15-Inputs!$B$50)*Inputs!$B$55</f>
        <v>0</v>
      </c>
      <c r="S82" s="149">
        <f>ROUNDUP(((S$52/2000/'Cost Data'!$D$42*'Cost Data'!$D$43)/Inputs!$B$33)/'Env Data'!$H$34,0)*'Env Data'!$E$34*(Inputs!$B$15-Inputs!$B$50)*Inputs!$B$56</f>
        <v>0</v>
      </c>
    </row>
    <row r="83" spans="1:19" ht="12.75" customHeight="1" hidden="1" thickBot="1">
      <c r="A83" s="113" t="s">
        <v>174</v>
      </c>
      <c r="B83" s="139">
        <f>ROUNDUP(((B$52/2000/'Cost Data'!$D$42*'Cost Data'!$D$43)/Inputs!$B$30)/'Env Data'!$H$34,0)*'Env Data'!$F$34*(Inputs!$B$15-Inputs!$B$50)*Inputs!$B$53</f>
        <v>0</v>
      </c>
      <c r="C83" s="139">
        <f>ROUNDUP(((C$52/2000/'Cost Data'!$D$42*'Cost Data'!$D$43)/Inputs!$B$31)/'Env Data'!$H$34,0)*'Env Data'!$F$34*(Inputs!$B$15-Inputs!$B$50)*Inputs!$B$54</f>
        <v>0</v>
      </c>
      <c r="D83" s="139">
        <f>ROUNDUP(((D$52/2000/'Cost Data'!$D$42*'Cost Data'!$D$43)/Inputs!$B$32)/'Env Data'!$H$34,0)*'Env Data'!$F$34*(Inputs!$B$15-Inputs!$B$50)*Inputs!$B$55</f>
        <v>0</v>
      </c>
      <c r="E83" s="149">
        <f>ROUNDUP(((E$52/2000/'Cost Data'!$D$42*'Cost Data'!$D$43)/Inputs!$B$33)/'Env Data'!$H$34,0)*'Env Data'!$F$34*(Inputs!$B$15-Inputs!$B$50)*Inputs!$B$56</f>
        <v>0</v>
      </c>
      <c r="F83" s="208"/>
      <c r="G83" s="9"/>
      <c r="H83" s="113" t="s">
        <v>174</v>
      </c>
      <c r="I83" s="398"/>
      <c r="J83" s="398"/>
      <c r="K83" s="398"/>
      <c r="L83" s="399"/>
      <c r="M83" s="208"/>
      <c r="O83" s="113" t="s">
        <v>174</v>
      </c>
      <c r="P83" s="139">
        <f>ROUNDUP(((P$52/2000/'Cost Data'!$D$42*'Cost Data'!$D$43)/Inputs!$B$30)/'Env Data'!$H$34,0)*'Env Data'!$F$34*(Inputs!$B$15-Inputs!$B$50)*Inputs!$B$53</f>
        <v>0</v>
      </c>
      <c r="Q83" s="139">
        <f>ROUNDUP(((Q$52/2000/'Cost Data'!$D$42*'Cost Data'!$D$43)/Inputs!$B$31)/'Env Data'!$H$34,0)*'Env Data'!$F$34*(Inputs!$B$15-Inputs!$B$50)*Inputs!$B$54</f>
        <v>0</v>
      </c>
      <c r="R83" s="139">
        <f>ROUNDUP(((R$52/2000/'Cost Data'!$D$42*'Cost Data'!$D$43)/Inputs!$B$32)/'Env Data'!$H$34,0)*'Env Data'!$F$34*(Inputs!$B$15-Inputs!$B$50)*Inputs!$B$55</f>
        <v>0</v>
      </c>
      <c r="S83" s="149">
        <f>ROUNDUP(((S$52/2000/'Cost Data'!$D$42*'Cost Data'!$D$43)/Inputs!$B$33)/'Env Data'!$H$34,0)*'Env Data'!$F$34*(Inputs!$B$15-Inputs!$B$50)*Inputs!$B$56</f>
        <v>0</v>
      </c>
    </row>
    <row r="84" spans="1:19" s="14" customFormat="1" ht="12.75" customHeight="1" thickBot="1">
      <c r="A84" s="257" t="s">
        <v>259</v>
      </c>
      <c r="B84" s="258"/>
      <c r="C84" s="258"/>
      <c r="D84" s="258"/>
      <c r="E84" s="259"/>
      <c r="F84" s="260"/>
      <c r="G84" s="13"/>
      <c r="H84" s="257" t="s">
        <v>259</v>
      </c>
      <c r="I84" s="258"/>
      <c r="J84" s="258"/>
      <c r="K84" s="258"/>
      <c r="L84" s="259"/>
      <c r="M84" s="260"/>
      <c r="O84" s="257" t="s">
        <v>259</v>
      </c>
      <c r="P84" s="258"/>
      <c r="Q84" s="258"/>
      <c r="R84" s="258"/>
      <c r="S84" s="259"/>
    </row>
    <row r="85" spans="1:19" ht="12.75" customHeight="1">
      <c r="A85" s="114" t="s">
        <v>156</v>
      </c>
      <c r="B85" s="139">
        <f>SUM(B55)</f>
        <v>94.5</v>
      </c>
      <c r="C85" s="139">
        <f>SUM(C55)</f>
        <v>283.49999999999994</v>
      </c>
      <c r="D85" s="139">
        <f>SUM(D55)</f>
        <v>566.9999999999999</v>
      </c>
      <c r="E85" s="149">
        <f>SUM(E55)</f>
        <v>945</v>
      </c>
      <c r="F85" s="208"/>
      <c r="G85" s="9"/>
      <c r="H85" s="114" t="s">
        <v>156</v>
      </c>
      <c r="I85" s="139">
        <f>SUM(I55)</f>
        <v>47.25000000000001</v>
      </c>
      <c r="J85" s="139">
        <f>SUM(J55)</f>
        <v>141.74999999999997</v>
      </c>
      <c r="K85" s="139">
        <f>SUM(K55)</f>
        <v>283.49999999999994</v>
      </c>
      <c r="L85" s="149">
        <f>SUM(L55)</f>
        <v>472.5</v>
      </c>
      <c r="M85" s="208"/>
      <c r="O85" s="114" t="s">
        <v>156</v>
      </c>
      <c r="P85" s="139">
        <f>SUM(P55)</f>
        <v>94.5</v>
      </c>
      <c r="Q85" s="139">
        <f>SUM(Q55)</f>
        <v>283.49999999999994</v>
      </c>
      <c r="R85" s="139">
        <f>SUM(R55)</f>
        <v>566.9999999999999</v>
      </c>
      <c r="S85" s="149">
        <f>SUM(S55)</f>
        <v>945</v>
      </c>
    </row>
    <row r="86" spans="1:19" ht="12.75" customHeight="1">
      <c r="A86" s="36" t="s">
        <v>178</v>
      </c>
      <c r="B86" s="139">
        <f>B56</f>
        <v>4738.5</v>
      </c>
      <c r="C86" s="139">
        <f>C56</f>
        <v>14215.499999999998</v>
      </c>
      <c r="D86" s="139">
        <f>D56</f>
        <v>28430.999999999996</v>
      </c>
      <c r="E86" s="143">
        <f>E56</f>
        <v>47385</v>
      </c>
      <c r="F86" s="208"/>
      <c r="G86" s="9"/>
      <c r="H86" s="36" t="s">
        <v>178</v>
      </c>
      <c r="I86" s="139">
        <f>I56</f>
        <v>2369.2500000000005</v>
      </c>
      <c r="J86" s="139">
        <f>J56</f>
        <v>7107.749999999999</v>
      </c>
      <c r="K86" s="139">
        <f>K56</f>
        <v>14215.499999999998</v>
      </c>
      <c r="L86" s="143">
        <f>L56</f>
        <v>23692.5</v>
      </c>
      <c r="M86" s="208"/>
      <c r="O86" s="36" t="s">
        <v>178</v>
      </c>
      <c r="P86" s="139">
        <f>P56</f>
        <v>4738.5</v>
      </c>
      <c r="Q86" s="139">
        <f>Q56</f>
        <v>14215.499999999998</v>
      </c>
      <c r="R86" s="139">
        <f>R56</f>
        <v>28430.999999999996</v>
      </c>
      <c r="S86" s="143">
        <f>S56</f>
        <v>47385</v>
      </c>
    </row>
    <row r="87" spans="1:19" ht="25.5" customHeight="1">
      <c r="A87" s="152" t="s">
        <v>242</v>
      </c>
      <c r="B87" s="139">
        <f aca="true" t="shared" si="3" ref="B87:E88">SUM(B57,B64,B71,B78)</f>
        <v>1279.704162</v>
      </c>
      <c r="C87" s="139">
        <f t="shared" si="3"/>
        <v>3839.1124859999995</v>
      </c>
      <c r="D87" s="139">
        <f t="shared" si="3"/>
        <v>7678.224971999999</v>
      </c>
      <c r="E87" s="149">
        <f t="shared" si="3"/>
        <v>12797.04162</v>
      </c>
      <c r="F87" s="208"/>
      <c r="G87" s="9"/>
      <c r="H87" s="152" t="s">
        <v>242</v>
      </c>
      <c r="I87" s="139">
        <f aca="true" t="shared" si="4" ref="I87:L88">SUM(I57,I64,I71,I78)</f>
        <v>779.2048470000001</v>
      </c>
      <c r="J87" s="139">
        <f t="shared" si="4"/>
        <v>2337.614541</v>
      </c>
      <c r="K87" s="139">
        <f t="shared" si="4"/>
        <v>4675.229082</v>
      </c>
      <c r="L87" s="149">
        <f t="shared" si="4"/>
        <v>7792.04847</v>
      </c>
      <c r="M87" s="208"/>
      <c r="O87" s="152" t="s">
        <v>242</v>
      </c>
      <c r="P87" s="139">
        <f aca="true" t="shared" si="5" ref="P87:S88">SUM(P57,P64,P71,P78)</f>
        <v>1000.99863</v>
      </c>
      <c r="Q87" s="139">
        <f t="shared" si="5"/>
        <v>3002.9958899999997</v>
      </c>
      <c r="R87" s="139">
        <f t="shared" si="5"/>
        <v>6005.991779999999</v>
      </c>
      <c r="S87" s="149">
        <f t="shared" si="5"/>
        <v>10009.9863</v>
      </c>
    </row>
    <row r="88" spans="1:19" ht="12.75" customHeight="1">
      <c r="A88" s="36" t="s">
        <v>179</v>
      </c>
      <c r="B88" s="139">
        <f t="shared" si="3"/>
        <v>535.05</v>
      </c>
      <c r="C88" s="139">
        <f t="shared" si="3"/>
        <v>1605.1499999999999</v>
      </c>
      <c r="D88" s="139">
        <f t="shared" si="3"/>
        <v>3210.2999999999997</v>
      </c>
      <c r="E88" s="149">
        <f t="shared" si="3"/>
        <v>5350.5</v>
      </c>
      <c r="F88" s="208"/>
      <c r="G88" s="9"/>
      <c r="H88" s="36" t="s">
        <v>179</v>
      </c>
      <c r="I88" s="139">
        <f t="shared" si="4"/>
        <v>484.42499999999995</v>
      </c>
      <c r="J88" s="139">
        <f t="shared" si="4"/>
        <v>1453.2749999999999</v>
      </c>
      <c r="K88" s="139">
        <f t="shared" si="4"/>
        <v>2906.5499999999997</v>
      </c>
      <c r="L88" s="149">
        <f t="shared" si="4"/>
        <v>4844.25</v>
      </c>
      <c r="M88" s="208"/>
      <c r="O88" s="36" t="s">
        <v>179</v>
      </c>
      <c r="P88" s="139">
        <f t="shared" si="5"/>
        <v>101.25</v>
      </c>
      <c r="Q88" s="139">
        <f t="shared" si="5"/>
        <v>303.74999999999994</v>
      </c>
      <c r="R88" s="139">
        <f t="shared" si="5"/>
        <v>607.4999999999999</v>
      </c>
      <c r="S88" s="149">
        <f t="shared" si="5"/>
        <v>1012.5</v>
      </c>
    </row>
    <row r="89" spans="1:19" ht="12.75" customHeight="1">
      <c r="A89" s="36" t="s">
        <v>212</v>
      </c>
      <c r="B89" s="139">
        <f>SUM(B59,B66,B73,B80)</f>
        <v>127.42499999999998</v>
      </c>
      <c r="C89" s="139">
        <f>SUM(C59,C66,C73,C80)</f>
        <v>382.275</v>
      </c>
      <c r="D89" s="139">
        <f>SUM(D59,D66,D73,D80)</f>
        <v>764.55</v>
      </c>
      <c r="E89" s="149">
        <f>SUM(E59,E66,E73,E80)</f>
        <v>1274.25</v>
      </c>
      <c r="F89" s="208"/>
      <c r="G89" s="9"/>
      <c r="H89" s="36" t="s">
        <v>212</v>
      </c>
      <c r="I89" s="139">
        <f>SUM(I59,I66,I73,I80)</f>
        <v>101.55</v>
      </c>
      <c r="J89" s="139">
        <f>SUM(J59,J66,J73,J80)</f>
        <v>304.65</v>
      </c>
      <c r="K89" s="139">
        <f>SUM(K59,K66,K73,K80)</f>
        <v>609.3</v>
      </c>
      <c r="L89" s="149">
        <f>SUM(L59,L66,L73,L80)</f>
        <v>1015.5</v>
      </c>
      <c r="M89" s="208"/>
      <c r="O89" s="36" t="s">
        <v>212</v>
      </c>
      <c r="P89" s="139">
        <f>SUM(P59,P66,P73,P80)</f>
        <v>51.75</v>
      </c>
      <c r="Q89" s="139">
        <f>SUM(Q59,Q66,Q73,Q80)</f>
        <v>155.24999999999997</v>
      </c>
      <c r="R89" s="139">
        <f>SUM(R59,R66,R73,R80)</f>
        <v>310.49999999999994</v>
      </c>
      <c r="S89" s="149">
        <f>SUM(S59,S66,S73,S80)</f>
        <v>517.5</v>
      </c>
    </row>
    <row r="90" spans="1:19" ht="12.75" customHeight="1">
      <c r="A90" s="36" t="s">
        <v>340</v>
      </c>
      <c r="B90" s="139">
        <f aca="true" t="shared" si="6" ref="B90:E92">SUM(B60,B67,B74,B81)</f>
        <v>2598.375</v>
      </c>
      <c r="C90" s="139">
        <f t="shared" si="6"/>
        <v>7795.125</v>
      </c>
      <c r="D90" s="139">
        <f t="shared" si="6"/>
        <v>15590.25</v>
      </c>
      <c r="E90" s="149">
        <f t="shared" si="6"/>
        <v>25983.75</v>
      </c>
      <c r="F90" s="208"/>
      <c r="G90" s="9"/>
      <c r="H90" s="36" t="s">
        <v>340</v>
      </c>
      <c r="I90" s="139">
        <f aca="true" t="shared" si="7" ref="I90:L92">SUM(I60,I67,I74,I81)</f>
        <v>2226</v>
      </c>
      <c r="J90" s="139">
        <f t="shared" si="7"/>
        <v>6678</v>
      </c>
      <c r="K90" s="139">
        <f t="shared" si="7"/>
        <v>13356</v>
      </c>
      <c r="L90" s="149">
        <f t="shared" si="7"/>
        <v>22260</v>
      </c>
      <c r="M90" s="208"/>
      <c r="O90" s="36" t="s">
        <v>340</v>
      </c>
      <c r="P90" s="139">
        <f aca="true" t="shared" si="8" ref="P90:S92">SUM(P60,P67,P74,P81)</f>
        <v>744.75</v>
      </c>
      <c r="Q90" s="139">
        <f t="shared" si="8"/>
        <v>2234.2499999999995</v>
      </c>
      <c r="R90" s="139">
        <f t="shared" si="8"/>
        <v>4468.499999999999</v>
      </c>
      <c r="S90" s="149">
        <f t="shared" si="8"/>
        <v>7447.5</v>
      </c>
    </row>
    <row r="91" spans="1:19" ht="12.75" customHeight="1">
      <c r="A91" s="36" t="s">
        <v>338</v>
      </c>
      <c r="B91" s="139">
        <f t="shared" si="6"/>
        <v>4522.9875</v>
      </c>
      <c r="C91" s="139">
        <f t="shared" si="6"/>
        <v>13568.962499999998</v>
      </c>
      <c r="D91" s="139">
        <f t="shared" si="6"/>
        <v>27137.924999999996</v>
      </c>
      <c r="E91" s="149">
        <f t="shared" si="6"/>
        <v>45229.875</v>
      </c>
      <c r="F91" s="208"/>
      <c r="G91" s="9"/>
      <c r="H91" s="36" t="s">
        <v>338</v>
      </c>
      <c r="I91" s="139">
        <f t="shared" si="7"/>
        <v>2275.2375</v>
      </c>
      <c r="J91" s="139">
        <f t="shared" si="7"/>
        <v>6825.7125</v>
      </c>
      <c r="K91" s="139">
        <f t="shared" si="7"/>
        <v>13651.425</v>
      </c>
      <c r="L91" s="149">
        <f t="shared" si="7"/>
        <v>22752.375</v>
      </c>
      <c r="M91" s="208"/>
      <c r="O91" s="36" t="s">
        <v>338</v>
      </c>
      <c r="P91" s="139">
        <f t="shared" si="8"/>
        <v>4495.5</v>
      </c>
      <c r="Q91" s="139">
        <f t="shared" si="8"/>
        <v>13486.499999999998</v>
      </c>
      <c r="R91" s="139">
        <f t="shared" si="8"/>
        <v>26972.999999999996</v>
      </c>
      <c r="S91" s="149">
        <f t="shared" si="8"/>
        <v>44955</v>
      </c>
    </row>
    <row r="92" spans="1:19" ht="12.75" customHeight="1">
      <c r="A92" s="166" t="s">
        <v>174</v>
      </c>
      <c r="B92" s="139">
        <f t="shared" si="6"/>
        <v>3222.24</v>
      </c>
      <c r="C92" s="139">
        <f t="shared" si="6"/>
        <v>9666.719999999998</v>
      </c>
      <c r="D92" s="139">
        <f t="shared" si="6"/>
        <v>19333.439999999995</v>
      </c>
      <c r="E92" s="149">
        <f t="shared" si="6"/>
        <v>32222.399999999998</v>
      </c>
      <c r="F92" s="208"/>
      <c r="G92" s="9"/>
      <c r="H92" s="166" t="s">
        <v>174</v>
      </c>
      <c r="I92" s="139">
        <f t="shared" si="7"/>
        <v>1635.9900000000002</v>
      </c>
      <c r="J92" s="139">
        <f t="shared" si="7"/>
        <v>4907.969999999999</v>
      </c>
      <c r="K92" s="139">
        <f t="shared" si="7"/>
        <v>9815.939999999999</v>
      </c>
      <c r="L92" s="149">
        <f t="shared" si="7"/>
        <v>16359.9</v>
      </c>
      <c r="M92" s="208"/>
      <c r="O92" s="166" t="s">
        <v>174</v>
      </c>
      <c r="P92" s="139">
        <f t="shared" si="8"/>
        <v>3172.5</v>
      </c>
      <c r="Q92" s="139">
        <f t="shared" si="8"/>
        <v>9517.499999999998</v>
      </c>
      <c r="R92" s="139">
        <f t="shared" si="8"/>
        <v>19034.999999999996</v>
      </c>
      <c r="S92" s="149">
        <f t="shared" si="8"/>
        <v>31725</v>
      </c>
    </row>
    <row r="93" spans="1:19" ht="12.75">
      <c r="A93" s="207" t="s">
        <v>7</v>
      </c>
      <c r="B93" s="42" t="s">
        <v>21</v>
      </c>
      <c r="C93" s="42" t="s">
        <v>18</v>
      </c>
      <c r="D93" s="42" t="s">
        <v>19</v>
      </c>
      <c r="E93" s="150" t="s">
        <v>20</v>
      </c>
      <c r="F93" s="238"/>
      <c r="G93" s="9"/>
      <c r="H93" s="207" t="s">
        <v>7</v>
      </c>
      <c r="I93" s="42" t="s">
        <v>21</v>
      </c>
      <c r="J93" s="42" t="s">
        <v>18</v>
      </c>
      <c r="K93" s="42" t="s">
        <v>19</v>
      </c>
      <c r="L93" s="150" t="s">
        <v>20</v>
      </c>
      <c r="M93" s="238"/>
      <c r="O93" s="207" t="s">
        <v>7</v>
      </c>
      <c r="P93" s="177" t="s">
        <v>21</v>
      </c>
      <c r="Q93" s="177" t="s">
        <v>18</v>
      </c>
      <c r="R93" s="177" t="s">
        <v>19</v>
      </c>
      <c r="S93" s="178" t="s">
        <v>20</v>
      </c>
    </row>
    <row r="94" spans="1:19" ht="12.75">
      <c r="A94" s="36" t="s">
        <v>153</v>
      </c>
      <c r="B94" s="199">
        <f>Inputs!$B$63*2000-(B95+B96)</f>
        <v>0</v>
      </c>
      <c r="C94" s="199">
        <f>Inputs!$B$64*2000-(C95+C96)</f>
        <v>0</v>
      </c>
      <c r="D94" s="199">
        <f>Inputs!$B$65*2000-(D95+D96)</f>
        <v>0</v>
      </c>
      <c r="E94" s="200">
        <f>Inputs!$B$66*2000-(E95+E96)</f>
        <v>0</v>
      </c>
      <c r="F94" s="241"/>
      <c r="G94" s="9"/>
      <c r="H94" s="36" t="s">
        <v>153</v>
      </c>
      <c r="I94" s="199">
        <f>B94</f>
        <v>0</v>
      </c>
      <c r="J94" s="199">
        <f>C94</f>
        <v>0</v>
      </c>
      <c r="K94" s="199">
        <f>D94</f>
        <v>0</v>
      </c>
      <c r="L94" s="200">
        <f>E94</f>
        <v>0</v>
      </c>
      <c r="M94" s="241"/>
      <c r="O94" s="36" t="s">
        <v>153</v>
      </c>
      <c r="P94" s="195">
        <v>0</v>
      </c>
      <c r="Q94" s="195">
        <v>0</v>
      </c>
      <c r="R94" s="195">
        <v>0</v>
      </c>
      <c r="S94" s="196">
        <v>0</v>
      </c>
    </row>
    <row r="95" spans="1:19" ht="25.5" customHeight="1">
      <c r="A95" s="49" t="s">
        <v>154</v>
      </c>
      <c r="B95" s="195">
        <f>IF(Lookup!$A$4="Yes",'Cost Calculator'!B$23/Inputs!$B$77*2000,0)</f>
        <v>2000</v>
      </c>
      <c r="C95" s="195">
        <f>IF(Lookup!$A$4="Yes",'Cost Calculator'!C$23/Inputs!$B$77*2000,0)</f>
        <v>6000</v>
      </c>
      <c r="D95" s="195">
        <f>IF(Lookup!$A$4="Yes",'Cost Calculator'!D$23/Inputs!$B$77*2000,0)</f>
        <v>12000</v>
      </c>
      <c r="E95" s="196">
        <f>IF(Lookup!$A$4="Yes",'Cost Calculator'!E$23/Inputs!$B$77*2000,0)</f>
        <v>20000</v>
      </c>
      <c r="F95" s="208"/>
      <c r="G95" s="9"/>
      <c r="H95" s="49" t="s">
        <v>154</v>
      </c>
      <c r="I95" s="195">
        <v>0</v>
      </c>
      <c r="J95" s="195">
        <v>0</v>
      </c>
      <c r="K95" s="195">
        <v>0</v>
      </c>
      <c r="L95" s="196">
        <v>0</v>
      </c>
      <c r="M95" s="208"/>
      <c r="O95" s="49" t="s">
        <v>154</v>
      </c>
      <c r="P95" s="195">
        <f>IF(Lookup!$A$4="Yes",SUM(I94:I96),0)</f>
        <v>2000</v>
      </c>
      <c r="Q95" s="195">
        <f>IF(Lookup!$A$4="Yes",SUM(J94:J96),0)</f>
        <v>6000</v>
      </c>
      <c r="R95" s="195">
        <f>IF(Lookup!$A$4="Yes",SUM(K94:K96),0)</f>
        <v>12000</v>
      </c>
      <c r="S95" s="196">
        <f>IF(Lookup!$A$4="Yes",SUM(L94:L96),0)</f>
        <v>20000</v>
      </c>
    </row>
    <row r="96" spans="1:19" ht="13.5" thickBot="1">
      <c r="A96" s="113" t="s">
        <v>155</v>
      </c>
      <c r="B96" s="197">
        <f>IF(Lookup!$B$4="No",'Cost Calculator'!B$23/VLOOKUP(Lookup!$I$9,'Cost Data'!$A$4:$C$10,3)*2000,0)</f>
        <v>0</v>
      </c>
      <c r="C96" s="197">
        <f>IF(Lookup!$B$4="No",'Cost Calculator'!C$23/VLOOKUP(Lookup!$I$9,'Cost Data'!$A$4:$C$10,3)*2000,0)</f>
        <v>0</v>
      </c>
      <c r="D96" s="197">
        <f>IF(Lookup!$B$4="No",'Cost Calculator'!D$23/VLOOKUP(Lookup!$I$9,'Cost Data'!$A$4:$C$10,3)*2000,0)</f>
        <v>0</v>
      </c>
      <c r="E96" s="198">
        <f>IF(Lookup!$B$4="No",'Cost Calculator'!E$23/VLOOKUP(Lookup!$I$9,'Cost Data'!$A$4:$C$10,3)*2000,0)</f>
        <v>0</v>
      </c>
      <c r="F96" s="208"/>
      <c r="G96" s="9"/>
      <c r="H96" s="113" t="s">
        <v>155</v>
      </c>
      <c r="I96" s="197">
        <f>B96+B95</f>
        <v>2000</v>
      </c>
      <c r="J96" s="197">
        <f>C96+C95</f>
        <v>6000</v>
      </c>
      <c r="K96" s="197">
        <f>D96+D95</f>
        <v>12000</v>
      </c>
      <c r="L96" s="198">
        <f>E96+E95</f>
        <v>20000</v>
      </c>
      <c r="M96" s="208"/>
      <c r="O96" s="113" t="s">
        <v>155</v>
      </c>
      <c r="P96" s="197">
        <f>IF(Lookup!$A$4="No",SUM(I94:I96),0)</f>
        <v>0</v>
      </c>
      <c r="Q96" s="197">
        <f>IF(Lookup!$A$4="No",SUM(J94:J96),0)</f>
        <v>0</v>
      </c>
      <c r="R96" s="197">
        <f>IF(Lookup!$A$4="No",SUM(K94:K96),0)</f>
        <v>0</v>
      </c>
      <c r="S96" s="198">
        <f>IF(Lookup!$A$4="No",SUM(L94:L96),0)</f>
        <v>0</v>
      </c>
    </row>
    <row r="97" spans="1:19" ht="13.5" hidden="1" thickBot="1">
      <c r="A97" s="168" t="s">
        <v>237</v>
      </c>
      <c r="B97" s="169"/>
      <c r="C97" s="169"/>
      <c r="D97" s="169"/>
      <c r="E97" s="170"/>
      <c r="F97" s="208"/>
      <c r="G97" s="9"/>
      <c r="H97" s="168" t="s">
        <v>237</v>
      </c>
      <c r="I97" s="169"/>
      <c r="J97" s="169"/>
      <c r="K97" s="169"/>
      <c r="L97" s="170"/>
      <c r="M97" s="208"/>
      <c r="O97" s="168" t="s">
        <v>237</v>
      </c>
      <c r="P97" s="169"/>
      <c r="Q97" s="169"/>
      <c r="R97" s="169"/>
      <c r="S97" s="170"/>
    </row>
    <row r="98" spans="1:19" s="14" customFormat="1" ht="12.75" hidden="1">
      <c r="A98" s="114" t="s">
        <v>156</v>
      </c>
      <c r="B98" s="146">
        <f>B$94*'Env Data'!$J$8/2000+B$95*'Env Data'!$J$21/2000</f>
        <v>113.21973221259361</v>
      </c>
      <c r="C98" s="146">
        <f>C$94*'Env Data'!$J$8/2000+C$95*'Env Data'!$J$21/2000</f>
        <v>339.65919663778084</v>
      </c>
      <c r="D98" s="146">
        <f>D$94*'Env Data'!$J$8/2000+D$95*'Env Data'!$J$21/2000</f>
        <v>679.3183932755617</v>
      </c>
      <c r="E98" s="146">
        <f>E$94*'Env Data'!$J$8/2000+E$95*'Env Data'!$J$21/2000</f>
        <v>1132.1973221259361</v>
      </c>
      <c r="F98" s="240"/>
      <c r="G98" s="13"/>
      <c r="H98" s="114" t="s">
        <v>156</v>
      </c>
      <c r="I98" s="146">
        <f>I$94*'Env Data'!$J$8/2000</f>
        <v>0</v>
      </c>
      <c r="J98" s="146">
        <f>J$94*'Env Data'!$J$8/2000</f>
        <v>0</v>
      </c>
      <c r="K98" s="146">
        <f>K$94*'Env Data'!$J$8/2000</f>
        <v>0</v>
      </c>
      <c r="L98" s="146">
        <f>L$94*'Env Data'!$J$8/2000</f>
        <v>0</v>
      </c>
      <c r="M98" s="240"/>
      <c r="O98" s="114" t="s">
        <v>156</v>
      </c>
      <c r="P98" s="146">
        <f>P$95*'Env Data'!$J$21/2000</f>
        <v>113.21973221259361</v>
      </c>
      <c r="Q98" s="146">
        <f>Q$95*'Env Data'!$J$21/2000</f>
        <v>339.65919663778084</v>
      </c>
      <c r="R98" s="146">
        <f>R$95*'Env Data'!$J$21/2000</f>
        <v>679.3183932755617</v>
      </c>
      <c r="S98" s="146">
        <f>S$95*'Env Data'!$J$21/2000</f>
        <v>1132.1973221259361</v>
      </c>
    </row>
    <row r="99" spans="1:19" ht="12.75" hidden="1">
      <c r="A99" s="36" t="s">
        <v>178</v>
      </c>
      <c r="B99" s="134">
        <f>B$94*'Env Data'!$H$8/2000+B$95*'Env Data'!$H$21/2000</f>
        <v>65.31797151410686</v>
      </c>
      <c r="C99" s="134">
        <f>C$94*'Env Data'!$H$8/2000+C$95*'Env Data'!$H$21/2000</f>
        <v>195.95391454232058</v>
      </c>
      <c r="D99" s="134">
        <f>D$94*'Env Data'!$H$8/2000+D$95*'Env Data'!$H$21/2000</f>
        <v>391.90782908464115</v>
      </c>
      <c r="E99" s="134">
        <f>E$94*'Env Data'!$H$8/2000+E$95*'Env Data'!$H$21/2000</f>
        <v>653.1797151410685</v>
      </c>
      <c r="F99" s="240"/>
      <c r="G99" s="9"/>
      <c r="H99" s="36" t="s">
        <v>178</v>
      </c>
      <c r="I99" s="134">
        <f>I$94*'Env Data'!$H$8/2000</f>
        <v>0</v>
      </c>
      <c r="J99" s="134">
        <f>J$94*'Env Data'!$H$8/2000</f>
        <v>0</v>
      </c>
      <c r="K99" s="134">
        <f>K$94*'Env Data'!$H$8/2000</f>
        <v>0</v>
      </c>
      <c r="L99" s="134">
        <f>L$94*'Env Data'!$H$8/2000</f>
        <v>0</v>
      </c>
      <c r="M99" s="134">
        <f>M$94*'Env Data'!$H$8/2000</f>
        <v>0</v>
      </c>
      <c r="O99" s="36" t="s">
        <v>178</v>
      </c>
      <c r="P99" s="134">
        <f>P$95*'Env Data'!$H$21/2000</f>
        <v>65.31797151410686</v>
      </c>
      <c r="Q99" s="134">
        <f>Q$95*'Env Data'!$H$21/2000</f>
        <v>195.95391454232058</v>
      </c>
      <c r="R99" s="134">
        <f>R$95*'Env Data'!$H$21/2000</f>
        <v>391.90782908464115</v>
      </c>
      <c r="S99" s="134">
        <f>S$95*'Env Data'!$H$21/2000</f>
        <v>653.1797151410685</v>
      </c>
    </row>
    <row r="100" spans="1:19" ht="25.5" customHeight="1" hidden="1">
      <c r="A100" s="152" t="s">
        <v>258</v>
      </c>
      <c r="B100" s="134">
        <f>B$94*'Env Data'!$I$8/2000+B$95*'Env Data'!$I$21/2000</f>
        <v>0</v>
      </c>
      <c r="C100" s="134">
        <f>C$94*'Env Data'!$I$8/2000+C$95*'Env Data'!$I$21/2000</f>
        <v>0</v>
      </c>
      <c r="D100" s="134">
        <f>D$94*'Env Data'!$I$8/2000+D$95*'Env Data'!$I$21/2000</f>
        <v>0</v>
      </c>
      <c r="E100" s="134">
        <f>E$94*'Env Data'!$I$8/2000+E$95*'Env Data'!$I$21/2000</f>
        <v>0</v>
      </c>
      <c r="F100" s="240"/>
      <c r="H100" s="152" t="s">
        <v>258</v>
      </c>
      <c r="I100" s="134">
        <f>I$94*'Env Data'!$I$8/2000</f>
        <v>0</v>
      </c>
      <c r="J100" s="134">
        <f>J$94*'Env Data'!$I$8/2000</f>
        <v>0</v>
      </c>
      <c r="K100" s="134">
        <f>K$94*'Env Data'!$I$8/2000</f>
        <v>0</v>
      </c>
      <c r="L100" s="134">
        <f>L$94*'Env Data'!$I$8/2000</f>
        <v>0</v>
      </c>
      <c r="M100" s="240"/>
      <c r="O100" s="152" t="s">
        <v>258</v>
      </c>
      <c r="P100" s="134">
        <f>P$95*'Env Data'!$I$21/2000</f>
        <v>0</v>
      </c>
      <c r="Q100" s="134">
        <f>Q$95*'Env Data'!$I$21/2000</f>
        <v>0</v>
      </c>
      <c r="R100" s="134">
        <f>R$95*'Env Data'!$I$21/2000</f>
        <v>0</v>
      </c>
      <c r="S100" s="134">
        <f>S$95*'Env Data'!$I$21/2000</f>
        <v>0</v>
      </c>
    </row>
    <row r="101" spans="1:19" ht="25.5" customHeight="1" hidden="1">
      <c r="A101" s="152" t="s">
        <v>242</v>
      </c>
      <c r="B101" s="134">
        <f>(B$94/2000)*'Env Data'!$G$8/1000*'Cost Data'!$D$46+(B$95/2000)*'Env Data'!$G$21/1000*'Cost Data'!$D$46</f>
        <v>22.046</v>
      </c>
      <c r="C101" s="134">
        <f>(C$94/2000)*'Env Data'!$G$8/1000*'Cost Data'!$D$46+(C$95/2000)*'Env Data'!$G$21/1000*'Cost Data'!$D$46</f>
        <v>66.138</v>
      </c>
      <c r="D101" s="134">
        <f>(D$94/2000)*'Env Data'!$G$8/1000*'Cost Data'!$D$46+(D$95/2000)*'Env Data'!$G$21/1000*'Cost Data'!$D$46</f>
        <v>132.276</v>
      </c>
      <c r="E101" s="134">
        <f>(E$94/2000)*'Env Data'!$G$8/1000*'Cost Data'!$D$46+(E$95/2000)*'Env Data'!$G$21/1000*'Cost Data'!$D$46</f>
        <v>220.46</v>
      </c>
      <c r="F101" s="240"/>
      <c r="G101" s="9"/>
      <c r="H101" s="152" t="s">
        <v>242</v>
      </c>
      <c r="I101" s="134">
        <f>(I$94/2000)*'Env Data'!$G$8/1000*'Cost Data'!$D$46</f>
        <v>0</v>
      </c>
      <c r="J101" s="134">
        <f>(J$94/2000)*'Env Data'!$G$8/1000*'Cost Data'!$D$46</f>
        <v>0</v>
      </c>
      <c r="K101" s="134">
        <f>(K$94/2000)*'Env Data'!$G$8/1000*'Cost Data'!$D$46</f>
        <v>0</v>
      </c>
      <c r="L101" s="134">
        <f>(L$94/2000)*'Env Data'!$G$8/1000*'Cost Data'!$D$46</f>
        <v>0</v>
      </c>
      <c r="M101" s="240"/>
      <c r="O101" s="152" t="s">
        <v>242</v>
      </c>
      <c r="P101" s="134">
        <f>(P$95/2000)*'Env Data'!$G$21/1000*'Cost Data'!$D$46</f>
        <v>22.046</v>
      </c>
      <c r="Q101" s="134">
        <f>(Q$95/2000)*'Env Data'!$G$21/1000*'Cost Data'!$D$46</f>
        <v>66.138</v>
      </c>
      <c r="R101" s="134">
        <f>(R$95/2000)*'Env Data'!$G$21/1000*'Cost Data'!$D$46</f>
        <v>132.276</v>
      </c>
      <c r="S101" s="134">
        <f>(S$95/2000)*'Env Data'!$G$21/1000*'Cost Data'!$D$46</f>
        <v>220.46</v>
      </c>
    </row>
    <row r="102" spans="1:19" ht="12.75" hidden="1">
      <c r="A102" s="36" t="s">
        <v>179</v>
      </c>
      <c r="B102" s="134">
        <f>B$94*'Env Data'!$B$8/2000+B$95*'Env Data'!$B$21/2000</f>
        <v>10.541594847137803</v>
      </c>
      <c r="C102" s="134">
        <f>C$94*'Env Data'!$B$8/2000+C$95*'Env Data'!$B$21/2000</f>
        <v>31.62478454141341</v>
      </c>
      <c r="D102" s="134">
        <f>D$94*'Env Data'!$B$8/2000+D$95*'Env Data'!$B$21/2000</f>
        <v>63.24956908282682</v>
      </c>
      <c r="E102" s="134">
        <f>E$94*'Env Data'!$B$8/2000+E$95*'Env Data'!$B$21/2000</f>
        <v>105.41594847137804</v>
      </c>
      <c r="F102" s="240"/>
      <c r="H102" s="36" t="s">
        <v>179</v>
      </c>
      <c r="I102" s="134">
        <f>I$94*'Env Data'!$B$8/2000</f>
        <v>0</v>
      </c>
      <c r="J102" s="134">
        <f>J$94*'Env Data'!$B$8/2000</f>
        <v>0</v>
      </c>
      <c r="K102" s="134">
        <f>K$94*'Env Data'!$B$8/2000</f>
        <v>0</v>
      </c>
      <c r="L102" s="134">
        <f>L$94*'Env Data'!$B$8/2000</f>
        <v>0</v>
      </c>
      <c r="M102" s="240"/>
      <c r="O102" s="36" t="s">
        <v>179</v>
      </c>
      <c r="P102" s="134">
        <f>P$95*'Env Data'!$B$21/2000</f>
        <v>10.541594847137803</v>
      </c>
      <c r="Q102" s="134">
        <f>Q$95*'Env Data'!$B$21/2000</f>
        <v>31.62478454141341</v>
      </c>
      <c r="R102" s="134">
        <f>R$95*'Env Data'!$B$21/2000</f>
        <v>63.24956908282682</v>
      </c>
      <c r="S102" s="134">
        <f>S$95*'Env Data'!$B$21/2000</f>
        <v>105.41594847137804</v>
      </c>
    </row>
    <row r="103" spans="1:19" ht="15.75" hidden="1">
      <c r="A103" s="36" t="s">
        <v>340</v>
      </c>
      <c r="B103" s="134">
        <f>B$94*'Env Data'!$D$8/2000+B$95*'Env Data'!$D$21/2000</f>
        <v>25.038555747074298</v>
      </c>
      <c r="C103" s="134">
        <f>C$94*'Env Data'!$D$8/2000+C$95*'Env Data'!$D$21/2000</f>
        <v>75.1156672412229</v>
      </c>
      <c r="D103" s="134">
        <f>D$94*'Env Data'!$D$8/2000+D$95*'Env Data'!$D$21/2000</f>
        <v>150.2313344824458</v>
      </c>
      <c r="E103" s="134">
        <f>E$94*'Env Data'!$D$8/2000+E$95*'Env Data'!$D$21/2000</f>
        <v>250.38555747074298</v>
      </c>
      <c r="F103" s="240"/>
      <c r="H103" s="36" t="s">
        <v>340</v>
      </c>
      <c r="I103" s="134">
        <f>I$94*'Env Data'!$D$8/2000</f>
        <v>0</v>
      </c>
      <c r="J103" s="134">
        <f>J$94*'Env Data'!$D$8/2000</f>
        <v>0</v>
      </c>
      <c r="K103" s="134">
        <f>K$94*'Env Data'!$D$8/2000</f>
        <v>0</v>
      </c>
      <c r="L103" s="134">
        <f>L$94*'Env Data'!$D$8/2000</f>
        <v>0</v>
      </c>
      <c r="M103" s="240"/>
      <c r="O103" s="36" t="s">
        <v>340</v>
      </c>
      <c r="P103" s="134">
        <f>P$95*'Env Data'!$D$21/2000</f>
        <v>25.038555747074298</v>
      </c>
      <c r="Q103" s="134">
        <f>Q$95*'Env Data'!$D$21/2000</f>
        <v>75.1156672412229</v>
      </c>
      <c r="R103" s="134">
        <f>R$95*'Env Data'!$D$21/2000</f>
        <v>150.2313344824458</v>
      </c>
      <c r="S103" s="134">
        <f>S$95*'Env Data'!$D$21/2000</f>
        <v>250.38555747074298</v>
      </c>
    </row>
    <row r="104" spans="1:19" ht="15.75" hidden="1">
      <c r="A104" s="36" t="s">
        <v>338</v>
      </c>
      <c r="B104" s="134">
        <f>B$94*'Env Data'!$E$8/2000+B$95*'Env Data'!$E$21/2000</f>
        <v>22.135534790891768</v>
      </c>
      <c r="C104" s="134">
        <f>C$94*'Env Data'!$E$8/2000+C$95*'Env Data'!$E$21/2000</f>
        <v>66.4066043726753</v>
      </c>
      <c r="D104" s="134">
        <f>D$94*'Env Data'!$E$8/2000+D$95*'Env Data'!$E$21/2000</f>
        <v>132.8132087453506</v>
      </c>
      <c r="E104" s="134">
        <f>E$94*'Env Data'!$E$8/2000+E$95*'Env Data'!$E$21/2000</f>
        <v>221.35534790891768</v>
      </c>
      <c r="F104" s="240"/>
      <c r="H104" s="36" t="s">
        <v>338</v>
      </c>
      <c r="I104" s="134">
        <f>I$94*'Env Data'!$E$8/2000</f>
        <v>0</v>
      </c>
      <c r="J104" s="134">
        <f>J$94*'Env Data'!$E$8/2000+J$95*'Env Data'!$E$21/2000</f>
        <v>0</v>
      </c>
      <c r="K104" s="134">
        <f>K$94*'Env Data'!$E$8/2000+K$95*'Env Data'!$E$21/2000</f>
        <v>0</v>
      </c>
      <c r="L104" s="134">
        <f>L$94*'Env Data'!$E$8/2000+L$95*'Env Data'!$E$21/2000</f>
        <v>0</v>
      </c>
      <c r="M104" s="240"/>
      <c r="O104" s="36" t="s">
        <v>338</v>
      </c>
      <c r="P104" s="134">
        <f>P$95*'Env Data'!$E$21/2000</f>
        <v>22.135534790891768</v>
      </c>
      <c r="Q104" s="134">
        <f>Q$95*'Env Data'!$E$21/2000</f>
        <v>66.4066043726753</v>
      </c>
      <c r="R104" s="134">
        <f>R$95*'Env Data'!$E$21/2000</f>
        <v>132.8132087453506</v>
      </c>
      <c r="S104" s="134">
        <f>S$95*'Env Data'!$E$21/2000</f>
        <v>221.35534790891768</v>
      </c>
    </row>
    <row r="105" spans="1:19" ht="13.5" hidden="1" thickBot="1">
      <c r="A105" s="36" t="s">
        <v>174</v>
      </c>
      <c r="B105" s="134">
        <f>B$94*'Env Data'!$F$8/2000+B$95*'Env Data'!$F$21/2000</f>
        <v>1.7599564546856572</v>
      </c>
      <c r="C105" s="134">
        <f>C$94*'Env Data'!$F$8/2000+C$95*'Env Data'!$F$21/2000</f>
        <v>5.279869364056972</v>
      </c>
      <c r="D105" s="134">
        <f>D$94*'Env Data'!$F$8/2000+D$95*'Env Data'!$F$21/2000</f>
        <v>10.559738728113944</v>
      </c>
      <c r="E105" s="134">
        <f>E$94*'Env Data'!$F$8/2000+E$95*'Env Data'!$F$21/2000</f>
        <v>17.59956454685657</v>
      </c>
      <c r="F105" s="240"/>
      <c r="H105" s="36" t="s">
        <v>174</v>
      </c>
      <c r="I105" s="134">
        <f>I$94*'Env Data'!$F$8/2000</f>
        <v>0</v>
      </c>
      <c r="J105" s="134">
        <f>J$94*'Env Data'!$F$8/2000</f>
        <v>0</v>
      </c>
      <c r="K105" s="134">
        <f>K$94*'Env Data'!$F$8/2000</f>
        <v>0</v>
      </c>
      <c r="L105" s="134">
        <f>L$94*'Env Data'!$F$8/2000</f>
        <v>0</v>
      </c>
      <c r="M105" s="240"/>
      <c r="O105" s="36" t="s">
        <v>174</v>
      </c>
      <c r="P105" s="134">
        <f>P$95*'Env Data'!$F$21/2000</f>
        <v>1.7599564546856572</v>
      </c>
      <c r="Q105" s="134">
        <f>Q$95*'Env Data'!$F$21/2000</f>
        <v>5.279869364056972</v>
      </c>
      <c r="R105" s="134">
        <f>R$95*'Env Data'!$F$21/2000</f>
        <v>10.559738728113944</v>
      </c>
      <c r="S105" s="134">
        <f>S$95*'Env Data'!$F$21/2000</f>
        <v>17.59956454685657</v>
      </c>
    </row>
    <row r="106" spans="1:19" ht="13.5" hidden="1" thickBot="1">
      <c r="A106" s="173" t="s">
        <v>240</v>
      </c>
      <c r="B106" s="174"/>
      <c r="C106" s="174"/>
      <c r="D106" s="174"/>
      <c r="E106" s="175"/>
      <c r="F106" s="240"/>
      <c r="H106" s="173" t="s">
        <v>240</v>
      </c>
      <c r="I106" s="174"/>
      <c r="J106" s="174"/>
      <c r="K106" s="174"/>
      <c r="L106" s="175"/>
      <c r="M106" s="240"/>
      <c r="O106" s="173" t="s">
        <v>240</v>
      </c>
      <c r="P106" s="174"/>
      <c r="Q106" s="174"/>
      <c r="R106" s="174"/>
      <c r="S106" s="175"/>
    </row>
    <row r="107" spans="1:19" ht="25.5" hidden="1">
      <c r="A107" s="152" t="s">
        <v>242</v>
      </c>
      <c r="B107" s="138">
        <f>ROUNDUP(((B$94/2000)/Inputs!$B$84)/'Env Data'!$H$29,0)*'Env Data'!$G$29/1000*'Cost Data'!$D$46*Inputs!$B$83*Inputs!$B$84</f>
        <v>0</v>
      </c>
      <c r="C107" s="138">
        <f>ROUNDUP(((C$94/2000)/Inputs!$B$85)/'Env Data'!$H$29,0)*'Env Data'!$G$29/1000*'Cost Data'!$D$46*Inputs!$B$83*Inputs!$B$85</f>
        <v>0</v>
      </c>
      <c r="D107" s="138">
        <f>ROUNDUP(((D$94/2000)/Inputs!$B$86)/'Env Data'!$H$29,0)*'Env Data'!$G$29/1000*'Cost Data'!$D$46*Inputs!$B$83*Inputs!$B$86</f>
        <v>0</v>
      </c>
      <c r="E107" s="144">
        <f>ROUNDUP(((E$94/2000)/Inputs!$B$87)/'Env Data'!$H$29,0)*'Env Data'!$G$29/1000*'Cost Data'!$D$46*Inputs!$B$83*Inputs!$B$87</f>
        <v>0</v>
      </c>
      <c r="F107" s="208"/>
      <c r="H107" s="152" t="s">
        <v>242</v>
      </c>
      <c r="I107" s="138">
        <f>ROUNDUP(((I$94/2000)/Inputs!$B$84)/'Env Data'!$H$29,0)*'Env Data'!$G$29/1000*'Cost Data'!$D$46*Inputs!$B$83*Inputs!$B$84</f>
        <v>0</v>
      </c>
      <c r="J107" s="138">
        <f>ROUNDUP(((J$94/2000)/Inputs!$B$85)/'Env Data'!$H$29,0)*'Env Data'!$G$29/1000*'Cost Data'!$D$46*Inputs!$B$83*Inputs!$B$85</f>
        <v>0</v>
      </c>
      <c r="K107" s="138">
        <f>ROUNDUP(((K$94/2000)/Inputs!$B$86)/'Env Data'!$H$29,0)*'Env Data'!$G$29/1000*'Cost Data'!$D$46*Inputs!$B$83*Inputs!$B$86</f>
        <v>0</v>
      </c>
      <c r="L107" s="144">
        <f>ROUNDUP(((L$94/2000)/Inputs!$B$87)/'Env Data'!$H$29,0)*'Env Data'!$G$29/1000*'Cost Data'!$D$46*Inputs!$B$83*Inputs!$B$87</f>
        <v>0</v>
      </c>
      <c r="M107" s="208"/>
      <c r="O107" s="152" t="s">
        <v>242</v>
      </c>
      <c r="P107" s="389"/>
      <c r="Q107" s="390"/>
      <c r="R107" s="390"/>
      <c r="S107" s="391"/>
    </row>
    <row r="108" spans="1:19" ht="12.75" hidden="1">
      <c r="A108" s="36" t="s">
        <v>179</v>
      </c>
      <c r="B108" s="141">
        <f>ROUNDUP(((B$94/2000)/Inputs!$B$84)/'Env Data'!$H$29,0)*'Env Data'!$B$29*Inputs!$B$83*Inputs!$B$84</f>
        <v>0</v>
      </c>
      <c r="C108" s="141">
        <f>ROUNDUP(((C$94/2000)/Inputs!$B$85)/'Env Data'!$H$29,0)*'Env Data'!$B$29*Inputs!$B$83*Inputs!$B$85</f>
        <v>0</v>
      </c>
      <c r="D108" s="141">
        <f>ROUNDUP(((D$94/2000)/Inputs!$B$86)/'Env Data'!$H$29,0)*'Env Data'!$B$29*Inputs!$B$83*Inputs!$B$86</f>
        <v>0</v>
      </c>
      <c r="E108" s="143">
        <f>ROUNDUP(((E$94/2000)/Inputs!$B$87)/'Env Data'!$H$29,0)*'Env Data'!$B$29*Inputs!$B$83*Inputs!$B$87</f>
        <v>0</v>
      </c>
      <c r="F108" s="208"/>
      <c r="H108" s="36" t="s">
        <v>179</v>
      </c>
      <c r="I108" s="141">
        <f>ROUNDUP(((I$94/2000)/Inputs!$B$84)/'Env Data'!$H$29,0)*'Env Data'!$B$29*Inputs!$B$83*Inputs!$B$84</f>
        <v>0</v>
      </c>
      <c r="J108" s="141">
        <f>ROUNDUP(((J$94/2000)/Inputs!$B$85)/'Env Data'!$H$29,0)*'Env Data'!$B$29*Inputs!$B$83*Inputs!$B$85</f>
        <v>0</v>
      </c>
      <c r="K108" s="141">
        <f>ROUNDUP(((K$94/2000)/Inputs!$B$86)/'Env Data'!$H$29,0)*'Env Data'!$B$29*Inputs!$B$83*Inputs!$B$86</f>
        <v>0</v>
      </c>
      <c r="L108" s="143">
        <f>ROUNDUP(((L$94/2000)/Inputs!$B$87)/'Env Data'!$H$29,0)*'Env Data'!$B$29*Inputs!$B$83*Inputs!$B$87</f>
        <v>0</v>
      </c>
      <c r="M108" s="208"/>
      <c r="O108" s="36" t="s">
        <v>179</v>
      </c>
      <c r="P108" s="392"/>
      <c r="Q108" s="392"/>
      <c r="R108" s="392"/>
      <c r="S108" s="393"/>
    </row>
    <row r="109" spans="1:19" ht="12.75" hidden="1">
      <c r="A109" s="36" t="s">
        <v>212</v>
      </c>
      <c r="B109" s="141">
        <f>ROUNDUP(((B$94/2000)/Inputs!$B$84)/'Env Data'!$H$29,0)*'Env Data'!$C$29*Inputs!$B$83*Inputs!$B$84</f>
        <v>0</v>
      </c>
      <c r="C109" s="141">
        <f>ROUNDUP(((C$94/2000)/Inputs!$B$85)/'Env Data'!$H$29,0)*'Env Data'!$C$29*Inputs!$B$83*Inputs!$B$85</f>
        <v>0</v>
      </c>
      <c r="D109" s="141">
        <f>ROUNDUP(((D$94/2000)/Inputs!$B$86)/'Env Data'!$H$29,0)*'Env Data'!$C$29*Inputs!$B$83*Inputs!$B$86</f>
        <v>0</v>
      </c>
      <c r="E109" s="143">
        <f>ROUNDUP(((E$94/2000)/Inputs!$B$87)/'Env Data'!$H$29,0)*'Env Data'!$C$29*Inputs!$B$83*Inputs!$B$87</f>
        <v>0</v>
      </c>
      <c r="F109" s="208"/>
      <c r="H109" s="36" t="s">
        <v>212</v>
      </c>
      <c r="I109" s="141">
        <f>ROUNDUP(((I$94/2000)/Inputs!$B$84)/'Env Data'!$H$29,0)*'Env Data'!$C$29*Inputs!$B$83*Inputs!$B$84</f>
        <v>0</v>
      </c>
      <c r="J109" s="141">
        <f>ROUNDUP(((J$94/2000)/Inputs!$B$85)/'Env Data'!$H$29,0)*'Env Data'!$C$29*Inputs!$B$83*Inputs!$B$85</f>
        <v>0</v>
      </c>
      <c r="K109" s="141">
        <f>ROUNDUP(((K$94/2000)/Inputs!$B$86)/'Env Data'!$H$29,0)*'Env Data'!$C$29*Inputs!$B$83*Inputs!$B$86</f>
        <v>0</v>
      </c>
      <c r="L109" s="143">
        <f>ROUNDUP(((L$94/2000)/Inputs!$B$87)/'Env Data'!$H$29,0)*'Env Data'!$C$29*Inputs!$B$83*Inputs!$B$87</f>
        <v>0</v>
      </c>
      <c r="M109" s="208"/>
      <c r="O109" s="36" t="s">
        <v>212</v>
      </c>
      <c r="P109" s="392"/>
      <c r="Q109" s="392"/>
      <c r="R109" s="392"/>
      <c r="S109" s="393"/>
    </row>
    <row r="110" spans="1:19" ht="15.75" hidden="1">
      <c r="A110" s="36" t="s">
        <v>340</v>
      </c>
      <c r="B110" s="141">
        <f>ROUNDUP(((B$94/2000)/Inputs!$B$84)/'Env Data'!$H$29,0)*'Env Data'!$D$29*Inputs!$B$83*Inputs!$B$84</f>
        <v>0</v>
      </c>
      <c r="C110" s="141">
        <f>ROUNDUP(((C$94/2000)/Inputs!$B$85)/'Env Data'!$H$29,0)*'Env Data'!$D$29*Inputs!$B$83*Inputs!$B$85</f>
        <v>0</v>
      </c>
      <c r="D110" s="141">
        <f>ROUNDUP(((D$94/2000)/Inputs!$B$86)/'Env Data'!$H$29,0)*'Env Data'!$D$29*Inputs!$B$83*Inputs!$B$86</f>
        <v>0</v>
      </c>
      <c r="E110" s="143">
        <f>ROUNDUP(((E$94/2000)/Inputs!$B$87)/'Env Data'!$H$29,0)*'Env Data'!$D$29*Inputs!$B$83*Inputs!$B$87</f>
        <v>0</v>
      </c>
      <c r="F110" s="208"/>
      <c r="H110" s="36" t="s">
        <v>340</v>
      </c>
      <c r="I110" s="141">
        <f>ROUNDUP(((I$94/2000)/Inputs!$B$84)/'Env Data'!$H$29,0)*'Env Data'!$D$29*Inputs!$B$83*Inputs!$B$84</f>
        <v>0</v>
      </c>
      <c r="J110" s="141">
        <f>ROUNDUP(((J$94/2000)/Inputs!$B$85)/'Env Data'!$H$29,0)*'Env Data'!$D$29*Inputs!$B$83*Inputs!$B$85</f>
        <v>0</v>
      </c>
      <c r="K110" s="141">
        <f>ROUNDUP(((K$94/2000)/Inputs!$B$86)/'Env Data'!$H$29,0)*'Env Data'!$D$29*Inputs!$B$83*Inputs!$B$86</f>
        <v>0</v>
      </c>
      <c r="L110" s="143">
        <f>ROUNDUP(((L$94/2000)/Inputs!$B$87)/'Env Data'!$H$29,0)*'Env Data'!$D$29*Inputs!$B$83*Inputs!$B$87</f>
        <v>0</v>
      </c>
      <c r="M110" s="208"/>
      <c r="O110" s="36" t="s">
        <v>340</v>
      </c>
      <c r="P110" s="392"/>
      <c r="Q110" s="392"/>
      <c r="R110" s="392"/>
      <c r="S110" s="393"/>
    </row>
    <row r="111" spans="1:19" ht="15.75" hidden="1">
      <c r="A111" s="36" t="s">
        <v>338</v>
      </c>
      <c r="B111" s="141">
        <f>ROUNDUP(((B$94/2000)/Inputs!$B$84)/'Env Data'!$H$29,0)*'Env Data'!$E$29*Inputs!$B$83*Inputs!$B$84</f>
        <v>0</v>
      </c>
      <c r="C111" s="141">
        <f>ROUNDUP(((C$94/2000)/Inputs!$B$85)/'Env Data'!$H$29,0)*'Env Data'!$E$29*Inputs!$B$83*Inputs!$B$85</f>
        <v>0</v>
      </c>
      <c r="D111" s="141">
        <f>ROUNDUP(((D$94/2000)/Inputs!$B$86)/'Env Data'!$H$29,0)*'Env Data'!$E$29*Inputs!$B$83*Inputs!$B$86</f>
        <v>0</v>
      </c>
      <c r="E111" s="143">
        <f>ROUNDUP(((E$94/2000)/Inputs!$B$87)/'Env Data'!$H$29,0)*'Env Data'!$E$29*Inputs!$B$83*Inputs!$B$87</f>
        <v>0</v>
      </c>
      <c r="F111" s="208"/>
      <c r="H111" s="36" t="s">
        <v>338</v>
      </c>
      <c r="I111" s="141">
        <f>ROUNDUP(((I$94/2000)/Inputs!$B$84)/'Env Data'!$H$29,0)*'Env Data'!$E$29*Inputs!$B$83*Inputs!$B$84</f>
        <v>0</v>
      </c>
      <c r="J111" s="141">
        <f>ROUNDUP(((J$94/2000)/Inputs!$B$85)/'Env Data'!$H$29,0)*'Env Data'!$E$29*Inputs!$B$83*Inputs!$B$85</f>
        <v>0</v>
      </c>
      <c r="K111" s="141">
        <f>ROUNDUP(((K$94/2000)/Inputs!$B$86)/'Env Data'!$H$29,0)*'Env Data'!$E$29*Inputs!$B$83*Inputs!$B$86</f>
        <v>0</v>
      </c>
      <c r="L111" s="143">
        <f>ROUNDUP(((L$94/2000)/Inputs!$B$87)/'Env Data'!$H$29,0)*'Env Data'!$E$29*Inputs!$B$83*Inputs!$B$87</f>
        <v>0</v>
      </c>
      <c r="M111" s="208"/>
      <c r="O111" s="36" t="s">
        <v>338</v>
      </c>
      <c r="P111" s="392"/>
      <c r="Q111" s="392"/>
      <c r="R111" s="392"/>
      <c r="S111" s="393"/>
    </row>
    <row r="112" spans="1:19" s="14" customFormat="1" ht="13.5" hidden="1" thickBot="1">
      <c r="A112" s="49" t="s">
        <v>174</v>
      </c>
      <c r="B112" s="141">
        <f>ROUNDUP(((B$94/2000)/Inputs!$B$84)/'Env Data'!$H$29,0)*'Env Data'!$F$29*Inputs!$B$83*Inputs!$B$84</f>
        <v>0</v>
      </c>
      <c r="C112" s="141">
        <f>ROUNDUP(((C$94/2000)/Inputs!$B$85)/'Env Data'!$H$29,0)*'Env Data'!$F$29*Inputs!$B$83*Inputs!$B$85</f>
        <v>0</v>
      </c>
      <c r="D112" s="141">
        <f>ROUNDUP(((D$94/2000)/Inputs!$B$86)/'Env Data'!$H$29,0)*'Env Data'!$F$29*Inputs!$B$83*Inputs!$B$86</f>
        <v>0</v>
      </c>
      <c r="E112" s="143">
        <f>ROUNDUP(((E$94/2000)/Inputs!$B$87)/'Env Data'!$H$29,0)*'Env Data'!$F$29*Inputs!$B$83*Inputs!$B$87</f>
        <v>0</v>
      </c>
      <c r="F112" s="208"/>
      <c r="G112" s="13"/>
      <c r="H112" s="49" t="s">
        <v>174</v>
      </c>
      <c r="I112" s="141">
        <f>ROUNDUP(((I$94/2000)/Inputs!$B$84)/'Env Data'!$H$29,0)*'Env Data'!$F$29*Inputs!$B$83*Inputs!$B$84</f>
        <v>0</v>
      </c>
      <c r="J112" s="141">
        <f>ROUNDUP(((J$94/2000)/Inputs!$B$85)/'Env Data'!$H$29,0)*'Env Data'!$F$29*Inputs!$B$83*Inputs!$B$85</f>
        <v>0</v>
      </c>
      <c r="K112" s="141">
        <f>ROUNDUP(((K$94/2000)/Inputs!$B$86)/'Env Data'!$H$29,0)*'Env Data'!$F$29*Inputs!$B$83*Inputs!$B$86</f>
        <v>0</v>
      </c>
      <c r="L112" s="143">
        <f>ROUNDUP(((L$94/2000)/Inputs!$B$87)/'Env Data'!$H$29,0)*'Env Data'!$F$29*Inputs!$B$83*Inputs!$B$87</f>
        <v>0</v>
      </c>
      <c r="M112" s="208"/>
      <c r="O112" s="49" t="s">
        <v>174</v>
      </c>
      <c r="P112" s="394"/>
      <c r="Q112" s="394"/>
      <c r="R112" s="394"/>
      <c r="S112" s="395"/>
    </row>
    <row r="113" spans="1:19" ht="12.75" customHeight="1" hidden="1" thickBot="1">
      <c r="A113" s="168" t="s">
        <v>284</v>
      </c>
      <c r="B113" s="169"/>
      <c r="C113" s="169"/>
      <c r="D113" s="169"/>
      <c r="E113" s="170"/>
      <c r="F113" s="208"/>
      <c r="G113" s="9"/>
      <c r="H113" s="168" t="s">
        <v>284</v>
      </c>
      <c r="I113" s="169"/>
      <c r="J113" s="169"/>
      <c r="K113" s="169"/>
      <c r="L113" s="170"/>
      <c r="M113" s="208"/>
      <c r="O113" s="168" t="s">
        <v>284</v>
      </c>
      <c r="P113" s="205"/>
      <c r="Q113" s="205"/>
      <c r="R113" s="205"/>
      <c r="S113" s="206"/>
    </row>
    <row r="114" spans="1:19" ht="25.5" customHeight="1" hidden="1">
      <c r="A114" s="152" t="s">
        <v>242</v>
      </c>
      <c r="B114" s="139">
        <f>ROUNDUP(((B$94/2000/'Cost Data'!$D$39)/Inputs!$B$84)/'Env Data'!$H$34,0)*'Env Data'!$G$34/1000*'Cost Data'!$D$46*Inputs!$B$15*Inputs!$B$84</f>
        <v>0</v>
      </c>
      <c r="C114" s="139">
        <f>ROUNDUP(((C$94/2000/'Cost Data'!$D$39)/Inputs!$B$85)/'Env Data'!$H$34,0)*'Env Data'!$G$34/1000*'Cost Data'!$D$46*Inputs!$B$15*Inputs!$B$85</f>
        <v>0</v>
      </c>
      <c r="D114" s="139">
        <f>ROUNDUP(((D$94/2000/'Cost Data'!$D$39)/Inputs!$B$86)/'Env Data'!$H$34,0)*'Env Data'!$G$34/1000*'Cost Data'!$D$46*Inputs!$B$15*Inputs!$B$86</f>
        <v>0</v>
      </c>
      <c r="E114" s="144">
        <f>ROUNDUP(((E$94/2000/'Cost Data'!$D$39)/Inputs!$B$87)/'Env Data'!$H$34,0)*'Env Data'!$G$34/1000*'Cost Data'!$D$46*Inputs!$B$15*Inputs!$B$87</f>
        <v>0</v>
      </c>
      <c r="F114" s="208"/>
      <c r="G114" s="9"/>
      <c r="H114" s="152" t="s">
        <v>242</v>
      </c>
      <c r="I114" s="139">
        <f>ROUNDUP(((I$94/2000/'Cost Data'!$D$39)/Inputs!$B$84)/'Env Data'!$H$34,0)*'Env Data'!$G$34/1000*'Cost Data'!$D$46*Inputs!$B$15*Inputs!$B$84</f>
        <v>0</v>
      </c>
      <c r="J114" s="139">
        <f>ROUNDUP(((J$94/2000/'Cost Data'!$D$39)/Inputs!$B$85)/'Env Data'!$H$34,0)*'Env Data'!$G$34/1000*'Cost Data'!$D$46*Inputs!$B$15*Inputs!$B$85</f>
        <v>0</v>
      </c>
      <c r="K114" s="139">
        <f>ROUNDUP(((K$94/2000/'Cost Data'!$D$39)/Inputs!$B$86)/'Env Data'!$H$34,0)*'Env Data'!$G$34/1000*'Cost Data'!$D$46*Inputs!$B$15*Inputs!$B$86</f>
        <v>0</v>
      </c>
      <c r="L114" s="144">
        <f>ROUNDUP(((L$94/2000/'Cost Data'!$D$39)/Inputs!$B$87)/'Env Data'!$H$34,0)*'Env Data'!$G$34/1000*'Cost Data'!$D$46*Inputs!$B$15*Inputs!$B$87</f>
        <v>0</v>
      </c>
      <c r="M114" s="208"/>
      <c r="O114" s="152" t="s">
        <v>242</v>
      </c>
      <c r="P114" s="392"/>
      <c r="Q114" s="398"/>
      <c r="R114" s="398"/>
      <c r="S114" s="399"/>
    </row>
    <row r="115" spans="1:19" ht="12.75" customHeight="1" hidden="1">
      <c r="A115" s="36" t="s">
        <v>179</v>
      </c>
      <c r="B115" s="139">
        <f>ROUNDUP(((B$94/2000/'Cost Data'!$D$39)/Inputs!$B$84)/'Env Data'!$H$34,0)*'Env Data'!$B$34*Inputs!$B$15*Inputs!$B$84</f>
        <v>0</v>
      </c>
      <c r="C115" s="139">
        <f>ROUNDUP(((C$94/2000/'Cost Data'!$D$39)/Inputs!$B$85)/'Env Data'!$H$34,0)*'Env Data'!$B$34*Inputs!$B$15*Inputs!$B$85</f>
        <v>0</v>
      </c>
      <c r="D115" s="139">
        <f>ROUNDUP(((D$94/2000/'Cost Data'!$D$39)/Inputs!$B$86)/'Env Data'!$H$34,0)*'Env Data'!$B$34*Inputs!$B$15*Inputs!$B$86</f>
        <v>0</v>
      </c>
      <c r="E115" s="149">
        <f>ROUNDUP(((E$94/2000/'Cost Data'!$D$39)/Inputs!$B$87)/'Env Data'!$H$34,0)*'Env Data'!$B$34*Inputs!$B$15*Inputs!$B$87</f>
        <v>0</v>
      </c>
      <c r="F115" s="208"/>
      <c r="G115" s="9"/>
      <c r="H115" s="36" t="s">
        <v>179</v>
      </c>
      <c r="I115" s="139">
        <f>ROUNDUP(((I$94/2000/'Cost Data'!$D$39)/Inputs!$B$84)/'Env Data'!$H$34,0)*'Env Data'!$B$34*Inputs!$B$15*Inputs!$B$84</f>
        <v>0</v>
      </c>
      <c r="J115" s="139">
        <f>ROUNDUP(((J$94/2000/'Cost Data'!$D$39)/Inputs!$B$85)/'Env Data'!$H$34,0)*'Env Data'!$B$34*Inputs!$B$15*Inputs!$B$85</f>
        <v>0</v>
      </c>
      <c r="K115" s="139">
        <f>ROUNDUP(((K$94/2000/'Cost Data'!$D$39)/Inputs!$B$86)/'Env Data'!$H$34,0)*'Env Data'!$B$34*Inputs!$B$15*Inputs!$B$86</f>
        <v>0</v>
      </c>
      <c r="L115" s="149">
        <f>ROUNDUP(((L$94/2000/'Cost Data'!$D$39)/Inputs!$B$87)/'Env Data'!$H$34,0)*'Env Data'!$B$34*Inputs!$B$15*Inputs!$B$87</f>
        <v>0</v>
      </c>
      <c r="M115" s="208"/>
      <c r="O115" s="36" t="s">
        <v>179</v>
      </c>
      <c r="P115" s="398"/>
      <c r="Q115" s="398"/>
      <c r="R115" s="398"/>
      <c r="S115" s="399"/>
    </row>
    <row r="116" spans="1:19" ht="12.75" customHeight="1" hidden="1">
      <c r="A116" s="36" t="s">
        <v>212</v>
      </c>
      <c r="B116" s="139">
        <f>ROUNDUP(((B$94/2000/'Cost Data'!$D$39)/Inputs!$B$84)/'Env Data'!$H$34,0)*'Env Data'!$C$34*Inputs!$B$15*Inputs!$B$84</f>
        <v>0</v>
      </c>
      <c r="C116" s="139">
        <f>ROUNDUP(((C$94/2000/'Cost Data'!$D$39)/Inputs!$B$85)/'Env Data'!$H$34,0)*'Env Data'!$C$34*Inputs!$B$15*Inputs!$B$85</f>
        <v>0</v>
      </c>
      <c r="D116" s="139">
        <f>ROUNDUP(((D$94/2000/'Cost Data'!$D$39)/Inputs!$B$86)/'Env Data'!$H$34,0)*'Env Data'!$C$34*Inputs!$B$15*Inputs!$B$86</f>
        <v>0</v>
      </c>
      <c r="E116" s="149">
        <f>ROUNDUP(((E$94/2000/'Cost Data'!$D$39)/Inputs!$B$87)/'Env Data'!$H$34,0)*'Env Data'!$C$34*Inputs!$B$15*Inputs!$B$87</f>
        <v>0</v>
      </c>
      <c r="F116" s="208"/>
      <c r="G116" s="9"/>
      <c r="H116" s="36" t="s">
        <v>212</v>
      </c>
      <c r="I116" s="139">
        <f>ROUNDUP(((I$94/2000/'Cost Data'!$D$39)/Inputs!$B$84)/'Env Data'!$H$34,0)*'Env Data'!$C$34*Inputs!$B$15*Inputs!$B$84</f>
        <v>0</v>
      </c>
      <c r="J116" s="139">
        <f>ROUNDUP(((J$94/2000/'Cost Data'!$D$39)/Inputs!$B$85)/'Env Data'!$H$34,0)*'Env Data'!$C$34*Inputs!$B$15*Inputs!$B$85</f>
        <v>0</v>
      </c>
      <c r="K116" s="139">
        <f>ROUNDUP(((K$94/2000/'Cost Data'!$D$39)/Inputs!$B$86)/'Env Data'!$H$34,0)*'Env Data'!$C$34*Inputs!$B$15*Inputs!$B$86</f>
        <v>0</v>
      </c>
      <c r="L116" s="149">
        <f>ROUNDUP(((L$94/2000/'Cost Data'!$D$39)/Inputs!$B$87)/'Env Data'!$H$34,0)*'Env Data'!$C$34*Inputs!$B$15*Inputs!$B$87</f>
        <v>0</v>
      </c>
      <c r="M116" s="208"/>
      <c r="O116" s="36" t="s">
        <v>212</v>
      </c>
      <c r="P116" s="398"/>
      <c r="Q116" s="398"/>
      <c r="R116" s="398"/>
      <c r="S116" s="399"/>
    </row>
    <row r="117" spans="1:19" ht="12.75" customHeight="1" hidden="1">
      <c r="A117" s="36" t="s">
        <v>340</v>
      </c>
      <c r="B117" s="139">
        <f>ROUNDUP(((B$94/2000/'Cost Data'!$D$39)/Inputs!$B$84)/'Env Data'!$H$34,0)*'Env Data'!$D$34*Inputs!$B$15*Inputs!$B$84</f>
        <v>0</v>
      </c>
      <c r="C117" s="139">
        <f>ROUNDUP(((C$94/2000/'Cost Data'!$D$39)/Inputs!$B$85)/'Env Data'!$H$34,0)*'Env Data'!$D$34*Inputs!$B$15*Inputs!$B$85</f>
        <v>0</v>
      </c>
      <c r="D117" s="139">
        <f>ROUNDUP(((D$94/2000/'Cost Data'!$D$39)/Inputs!$B$86)/'Env Data'!$H$34,0)*'Env Data'!$D$34*Inputs!$B$15*Inputs!$B$86</f>
        <v>0</v>
      </c>
      <c r="E117" s="149">
        <f>ROUNDUP(((E$94/2000/'Cost Data'!$D$39)/Inputs!$B$87)/'Env Data'!$H$34,0)*'Env Data'!$D$34*Inputs!$B$15*Inputs!$B$87</f>
        <v>0</v>
      </c>
      <c r="F117" s="208"/>
      <c r="G117" s="9"/>
      <c r="H117" s="36" t="s">
        <v>340</v>
      </c>
      <c r="I117" s="139">
        <f>ROUNDUP(((I$94/2000/'Cost Data'!$D$39)/Inputs!$B$84)/'Env Data'!$H$34,0)*'Env Data'!$D$34*Inputs!$B$15*Inputs!$B$84</f>
        <v>0</v>
      </c>
      <c r="J117" s="139">
        <f>ROUNDUP(((J$94/2000/'Cost Data'!$D$39)/Inputs!$B$85)/'Env Data'!$H$34,0)*'Env Data'!$D$34*Inputs!$B$15*Inputs!$B$85</f>
        <v>0</v>
      </c>
      <c r="K117" s="139">
        <f>ROUNDUP(((K$94/2000/'Cost Data'!$D$39)/Inputs!$B$86)/'Env Data'!$H$34,0)*'Env Data'!$D$34*Inputs!$B$15*Inputs!$B$86</f>
        <v>0</v>
      </c>
      <c r="L117" s="149">
        <f>ROUNDUP(((L$94/2000/'Cost Data'!$D$39)/Inputs!$B$87)/'Env Data'!$H$34,0)*'Env Data'!$D$34*Inputs!$B$15*Inputs!$B$87</f>
        <v>0</v>
      </c>
      <c r="M117" s="208"/>
      <c r="O117" s="36" t="s">
        <v>340</v>
      </c>
      <c r="P117" s="398"/>
      <c r="Q117" s="398"/>
      <c r="R117" s="398"/>
      <c r="S117" s="399"/>
    </row>
    <row r="118" spans="1:19" ht="12.75" customHeight="1" hidden="1">
      <c r="A118" s="36" t="s">
        <v>338</v>
      </c>
      <c r="B118" s="139">
        <f>ROUNDUP(((B$94/2000/'Cost Data'!$D$39)/Inputs!$B$84)/'Env Data'!$H$34,0)*'Env Data'!$E$34*Inputs!$B$15*Inputs!$B$84</f>
        <v>0</v>
      </c>
      <c r="C118" s="139">
        <f>ROUNDUP(((C$94/2000/'Cost Data'!$D$39)/Inputs!$B$85)/'Env Data'!$H$34,0)*'Env Data'!$E$34*Inputs!$B$15*Inputs!$B$85</f>
        <v>0</v>
      </c>
      <c r="D118" s="139">
        <f>ROUNDUP(((D$94/2000/'Cost Data'!$D$39)/Inputs!$B$86)/'Env Data'!$H$34,0)*'Env Data'!$E$34*Inputs!$B$15*Inputs!$B$86</f>
        <v>0</v>
      </c>
      <c r="E118" s="149">
        <f>ROUNDUP(((E$94/2000/'Cost Data'!$D$39)/Inputs!$B$87)/'Env Data'!$H$34,0)*'Env Data'!$E$34*Inputs!$B$15*Inputs!$B$87</f>
        <v>0</v>
      </c>
      <c r="F118" s="208"/>
      <c r="G118" s="9"/>
      <c r="H118" s="36" t="s">
        <v>338</v>
      </c>
      <c r="I118" s="139">
        <f>ROUNDUP(((I$94/2000/'Cost Data'!$D$39)/Inputs!$B$84)/'Env Data'!$H$34,0)*'Env Data'!$E$34*Inputs!$B$15*Inputs!$B$84</f>
        <v>0</v>
      </c>
      <c r="J118" s="139">
        <f>ROUNDUP(((J$94/2000/'Cost Data'!$D$39)/Inputs!$B$85)/'Env Data'!$H$34,0)*'Env Data'!$E$34*Inputs!$B$15*Inputs!$B$85</f>
        <v>0</v>
      </c>
      <c r="K118" s="139">
        <f>ROUNDUP(((K$94/2000/'Cost Data'!$D$39)/Inputs!$B$86)/'Env Data'!$H$34,0)*'Env Data'!$E$34*Inputs!$B$15*Inputs!$B$86</f>
        <v>0</v>
      </c>
      <c r="L118" s="149">
        <f>ROUNDUP(((L$94/2000/'Cost Data'!$D$39)/Inputs!$B$87)/'Env Data'!$H$34,0)*'Env Data'!$E$34*Inputs!$B$15*Inputs!$B$87</f>
        <v>0</v>
      </c>
      <c r="M118" s="208"/>
      <c r="O118" s="36" t="s">
        <v>338</v>
      </c>
      <c r="P118" s="398"/>
      <c r="Q118" s="398"/>
      <c r="R118" s="398"/>
      <c r="S118" s="399"/>
    </row>
    <row r="119" spans="1:19" ht="12.75" customHeight="1" hidden="1" thickBot="1">
      <c r="A119" s="113" t="s">
        <v>174</v>
      </c>
      <c r="B119" s="139">
        <f>ROUNDUP(((B$94/2000/'Cost Data'!$D$39)/Inputs!$B$84)/'Env Data'!$H$34,0)*'Env Data'!$F$34*Inputs!$B$15*Inputs!$B$84</f>
        <v>0</v>
      </c>
      <c r="C119" s="139">
        <f>ROUNDUP(((C$94/2000/'Cost Data'!$D$39)/Inputs!$B$85)/'Env Data'!$H$34,0)*'Env Data'!$F$34*Inputs!$B$15*Inputs!$B$85</f>
        <v>0</v>
      </c>
      <c r="D119" s="139">
        <f>ROUNDUP(((D$94/2000/'Cost Data'!$D$39)/Inputs!$B$86)/'Env Data'!$H$34,0)*'Env Data'!$F$34*Inputs!$B$15*Inputs!$B$86</f>
        <v>0</v>
      </c>
      <c r="E119" s="149">
        <f>ROUNDUP(((E$94/2000/'Cost Data'!$D$39)/Inputs!$B$87)/'Env Data'!$H$34,0)*'Env Data'!$F$34*Inputs!$B$15*Inputs!$B$87</f>
        <v>0</v>
      </c>
      <c r="F119" s="208"/>
      <c r="G119" s="9"/>
      <c r="H119" s="113" t="s">
        <v>174</v>
      </c>
      <c r="I119" s="139">
        <f>ROUNDUP(((I$94/2000/'Cost Data'!$D$39)/Inputs!$B$84)/'Env Data'!$H$34,0)*'Env Data'!$F$34*Inputs!$B$15*Inputs!$B$84</f>
        <v>0</v>
      </c>
      <c r="J119" s="139">
        <f>ROUNDUP(((J$94/2000/'Cost Data'!$D$39)/Inputs!$B$85)/'Env Data'!$H$34,0)*'Env Data'!$F$34*Inputs!$B$15*Inputs!$B$85</f>
        <v>0</v>
      </c>
      <c r="K119" s="139">
        <f>ROUNDUP(((K$94/2000/'Cost Data'!$D$39)/Inputs!$B$86)/'Env Data'!$H$34,0)*'Env Data'!$F$34*Inputs!$B$15*Inputs!$B$86</f>
        <v>0</v>
      </c>
      <c r="L119" s="149">
        <f>ROUNDUP(((L$94/2000/'Cost Data'!$D$39)/Inputs!$B$87)/'Env Data'!$H$34,0)*'Env Data'!$F$34*Inputs!$B$15*Inputs!$B$87</f>
        <v>0</v>
      </c>
      <c r="M119" s="208"/>
      <c r="O119" s="113" t="s">
        <v>174</v>
      </c>
      <c r="P119" s="398"/>
      <c r="Q119" s="398"/>
      <c r="R119" s="398"/>
      <c r="S119" s="399"/>
    </row>
    <row r="120" spans="1:19" ht="12.75" customHeight="1" hidden="1" thickBot="1">
      <c r="A120" s="168" t="s">
        <v>382</v>
      </c>
      <c r="B120" s="169"/>
      <c r="C120" s="169"/>
      <c r="D120" s="169"/>
      <c r="E120" s="170"/>
      <c r="F120" s="208"/>
      <c r="G120" s="9"/>
      <c r="H120" s="168" t="s">
        <v>382</v>
      </c>
      <c r="I120" s="169"/>
      <c r="J120" s="169"/>
      <c r="K120" s="169"/>
      <c r="L120" s="170"/>
      <c r="M120" s="208"/>
      <c r="O120" s="168" t="s">
        <v>382</v>
      </c>
      <c r="P120" s="205"/>
      <c r="Q120" s="205"/>
      <c r="R120" s="205"/>
      <c r="S120" s="206"/>
    </row>
    <row r="121" spans="1:19" ht="25.5" customHeight="1" hidden="1">
      <c r="A121" s="152" t="s">
        <v>242</v>
      </c>
      <c r="B121" s="139">
        <f>ROUNDUP(((B$95/2000/'Cost Data'!$D$39)/Inputs!$B$84)/'Env Data'!$H$34,0)*'Env Data'!$G$34/1000*'Cost Data'!$D$46*(Inputs!$B$15-Inputs!$B$78)*Inputs!$B$84</f>
        <v>0</v>
      </c>
      <c r="C121" s="139">
        <f>ROUNDUP(((C$95/2000/'Cost Data'!$D$39)/Inputs!$B$85)/'Env Data'!$H$34,0)*'Env Data'!$G$34/1000*'Cost Data'!$D$46*(Inputs!$B$15-Inputs!$B$78)*Inputs!$B$85</f>
        <v>0</v>
      </c>
      <c r="D121" s="139">
        <f>ROUNDUP(((D$95/2000/'Cost Data'!$D$39)/Inputs!$B$86)/'Env Data'!$H$34,0)*'Env Data'!$G$34/1000*'Cost Data'!$D$46*(Inputs!$B$15-Inputs!$B$78)*Inputs!$B$86</f>
        <v>0</v>
      </c>
      <c r="E121" s="144">
        <f>ROUNDUP(((E$95/2000/'Cost Data'!$D$39)/Inputs!$B$87)/'Env Data'!$H$34,0)*'Env Data'!$G$34/1000*'Cost Data'!$D$46*(Inputs!$B$15-Inputs!$B$78)*Inputs!$B$87</f>
        <v>0</v>
      </c>
      <c r="F121" s="208"/>
      <c r="G121" s="9"/>
      <c r="H121" s="152" t="s">
        <v>242</v>
      </c>
      <c r="I121" s="392"/>
      <c r="J121" s="398"/>
      <c r="K121" s="398"/>
      <c r="L121" s="399"/>
      <c r="M121" s="208"/>
      <c r="O121" s="152" t="s">
        <v>242</v>
      </c>
      <c r="P121" s="139">
        <f>ROUNDUP(((P$95/2000/'Cost Data'!$D$39)/Inputs!$B$84)/'Env Data'!$H$34,0)*'Env Data'!$G$34/1000*'Cost Data'!$D$46*(Inputs!$B$15-Inputs!$B$78)*Inputs!$B$84</f>
        <v>0</v>
      </c>
      <c r="Q121" s="139">
        <f>ROUNDUP(((Q$95/2000/'Cost Data'!$D$39)/Inputs!$B$85)/'Env Data'!$H$34,0)*'Env Data'!$G$34/1000*'Cost Data'!$D$46*(Inputs!$B$15-Inputs!$B$78)*Inputs!$B$85</f>
        <v>0</v>
      </c>
      <c r="R121" s="139">
        <f>ROUNDUP(((R$95/2000/'Cost Data'!$D$39)/Inputs!$B$86)/'Env Data'!$H$34,0)*'Env Data'!$G$34/1000*'Cost Data'!$D$46*(Inputs!$B$15-Inputs!$B$78)*Inputs!$B$86</f>
        <v>0</v>
      </c>
      <c r="S121" s="144">
        <f>ROUNDUP(((S$95/2000/'Cost Data'!$D$39)/Inputs!$B$87)/'Env Data'!$H$34,0)*'Env Data'!$G$34/1000*'Cost Data'!$D$46*(Inputs!$B$15-Inputs!$B$78)*Inputs!$B$87</f>
        <v>0</v>
      </c>
    </row>
    <row r="122" spans="1:19" ht="12.75" customHeight="1" hidden="1">
      <c r="A122" s="36" t="s">
        <v>179</v>
      </c>
      <c r="B122" s="139">
        <f>ROUNDUP(((B$95/2000/'Cost Data'!$D$39)/Inputs!$B$84)/'Env Data'!$H$34,0)*'Env Data'!$B$34*(Inputs!$B$15-Inputs!$B$78)*Inputs!$B$84</f>
        <v>0</v>
      </c>
      <c r="C122" s="139">
        <f>ROUNDUP(((C$95/2000/'Cost Data'!$D$39)/Inputs!$B$85)/'Env Data'!$H$34,0)*'Env Data'!$B$34*(Inputs!$B$15-Inputs!$B$78)*Inputs!$B$85</f>
        <v>0</v>
      </c>
      <c r="D122" s="139">
        <f>ROUNDUP(((D$95/2000/'Cost Data'!$D$39)/Inputs!$B$86)/'Env Data'!$H$34,0)*'Env Data'!$B$34*(Inputs!$B$15-Inputs!$B$78)*Inputs!$B$86</f>
        <v>0</v>
      </c>
      <c r="E122" s="149">
        <f>ROUNDUP(((E$95/2000/'Cost Data'!$D$39)/Inputs!$B$87)/'Env Data'!$H$34,0)*'Env Data'!$B$34*(Inputs!$B$15-Inputs!$B$78)*Inputs!$B$87</f>
        <v>0</v>
      </c>
      <c r="F122" s="208"/>
      <c r="G122" s="9"/>
      <c r="H122" s="36" t="s">
        <v>179</v>
      </c>
      <c r="I122" s="398"/>
      <c r="J122" s="398"/>
      <c r="K122" s="398"/>
      <c r="L122" s="399"/>
      <c r="M122" s="208"/>
      <c r="O122" s="36" t="s">
        <v>179</v>
      </c>
      <c r="P122" s="139">
        <f>ROUNDUP(((P$95/2000/'Cost Data'!$D$39)/Inputs!$B$84)/'Env Data'!$H$34,0)*'Env Data'!$B$34*(Inputs!$B$15-Inputs!$B$78)*Inputs!$B$84</f>
        <v>0</v>
      </c>
      <c r="Q122" s="139">
        <f>ROUNDUP(((Q$95/2000/'Cost Data'!$D$39)/Inputs!$B$85)/'Env Data'!$H$34,0)*'Env Data'!$B$34*(Inputs!$B$15-Inputs!$B$78)*Inputs!$B$85</f>
        <v>0</v>
      </c>
      <c r="R122" s="139">
        <f>ROUNDUP(((R$95/2000/'Cost Data'!$D$39)/Inputs!$B$86)/'Env Data'!$H$34,0)*'Env Data'!$B$34*(Inputs!$B$15-Inputs!$B$78)*Inputs!$B$86</f>
        <v>0</v>
      </c>
      <c r="S122" s="149">
        <f>ROUNDUP(((S$95/2000/'Cost Data'!$D$39)/Inputs!$B$87)/'Env Data'!$H$34,0)*'Env Data'!$B$34*(Inputs!$B$15-Inputs!$B$78)*Inputs!$B$87</f>
        <v>0</v>
      </c>
    </row>
    <row r="123" spans="1:19" ht="12.75" customHeight="1" hidden="1">
      <c r="A123" s="36" t="s">
        <v>212</v>
      </c>
      <c r="B123" s="139">
        <f>ROUNDUP(((B$95/2000/'Cost Data'!$D$39)/Inputs!$B$84)/'Env Data'!$H$34,0)*'Env Data'!$C$34*(Inputs!$B$15-Inputs!$B$78)*Inputs!$B$84</f>
        <v>0</v>
      </c>
      <c r="C123" s="139">
        <f>ROUNDUP(((C$95/2000/'Cost Data'!$D$39)/Inputs!$B$85)/'Env Data'!$H$34,0)*'Env Data'!$C$34*(Inputs!$B$15-Inputs!$B$78)*Inputs!$B$85</f>
        <v>0</v>
      </c>
      <c r="D123" s="139">
        <f>ROUNDUP(((D$95/2000/'Cost Data'!$D$39)/Inputs!$B$86)/'Env Data'!$H$34,0)*'Env Data'!$C$34*(Inputs!$B$15-Inputs!$B$78)*Inputs!$B$86</f>
        <v>0</v>
      </c>
      <c r="E123" s="149">
        <f>ROUNDUP(((E$95/2000/'Cost Data'!$D$39)/Inputs!$B$87)/'Env Data'!$H$34,0)*'Env Data'!$C$34*(Inputs!$B$15-Inputs!$B$78)*Inputs!$B$87</f>
        <v>0</v>
      </c>
      <c r="F123" s="208"/>
      <c r="G123" s="9"/>
      <c r="H123" s="36" t="s">
        <v>212</v>
      </c>
      <c r="I123" s="398"/>
      <c r="J123" s="398"/>
      <c r="K123" s="398"/>
      <c r="L123" s="399"/>
      <c r="M123" s="208"/>
      <c r="O123" s="36" t="s">
        <v>212</v>
      </c>
      <c r="P123" s="139">
        <f>ROUNDUP(((P$95/2000/'Cost Data'!$D$39)/Inputs!$B$84)/'Env Data'!$H$34,0)*'Env Data'!$C$34*(Inputs!$B$15-Inputs!$B$78)*Inputs!$B$84</f>
        <v>0</v>
      </c>
      <c r="Q123" s="139">
        <f>ROUNDUP(((Q$95/2000/'Cost Data'!$D$39)/Inputs!$B$85)/'Env Data'!$H$34,0)*'Env Data'!$C$34*(Inputs!$B$15-Inputs!$B$78)*Inputs!$B$85</f>
        <v>0</v>
      </c>
      <c r="R123" s="139">
        <f>ROUNDUP(((R$95/2000/'Cost Data'!$D$39)/Inputs!$B$86)/'Env Data'!$H$34,0)*'Env Data'!$C$34*(Inputs!$B$15-Inputs!$B$78)*Inputs!$B$86</f>
        <v>0</v>
      </c>
      <c r="S123" s="149">
        <f>ROUNDUP(((S$95/2000/'Cost Data'!$D$39)/Inputs!$B$87)/'Env Data'!$H$34,0)*'Env Data'!$C$34*(Inputs!$B$15-Inputs!$B$78)*Inputs!$B$87</f>
        <v>0</v>
      </c>
    </row>
    <row r="124" spans="1:19" ht="12.75" customHeight="1" hidden="1">
      <c r="A124" s="36" t="s">
        <v>340</v>
      </c>
      <c r="B124" s="139">
        <f>ROUNDUP(((B$95/2000/'Cost Data'!$D$39)/Inputs!$B$84)/'Env Data'!$H$34,0)*'Env Data'!$D$34*(Inputs!$B$15-Inputs!$B$78)*Inputs!$B$84</f>
        <v>0</v>
      </c>
      <c r="C124" s="139">
        <f>ROUNDUP(((C$95/2000/'Cost Data'!$D$39)/Inputs!$B$85)/'Env Data'!$H$34,0)*'Env Data'!$D$34*(Inputs!$B$15-Inputs!$B$78)*Inputs!$B$85</f>
        <v>0</v>
      </c>
      <c r="D124" s="139">
        <f>ROUNDUP(((D$95/2000/'Cost Data'!$D$39)/Inputs!$B$86)/'Env Data'!$H$34,0)*'Env Data'!$D$34*(Inputs!$B$15-Inputs!$B$78)*Inputs!$B$86</f>
        <v>0</v>
      </c>
      <c r="E124" s="149">
        <f>ROUNDUP(((E$95/2000/'Cost Data'!$D$39)/Inputs!$B$87)/'Env Data'!$H$34,0)*'Env Data'!$D$34*(Inputs!$B$15-Inputs!$B$78)*Inputs!$B$87</f>
        <v>0</v>
      </c>
      <c r="F124" s="208"/>
      <c r="G124" s="9"/>
      <c r="H124" s="36" t="s">
        <v>340</v>
      </c>
      <c r="I124" s="398"/>
      <c r="J124" s="398"/>
      <c r="K124" s="398"/>
      <c r="L124" s="399"/>
      <c r="M124" s="208"/>
      <c r="O124" s="36" t="s">
        <v>340</v>
      </c>
      <c r="P124" s="139">
        <f>ROUNDUP(((P$95/2000/'Cost Data'!$D$39)/Inputs!$B$84)/'Env Data'!$H$34,0)*'Env Data'!$D$34*(Inputs!$B$15-Inputs!$B$78)*Inputs!$B$84</f>
        <v>0</v>
      </c>
      <c r="Q124" s="139">
        <f>ROUNDUP(((Q$95/2000/'Cost Data'!$D$39)/Inputs!$B$85)/'Env Data'!$H$34,0)*'Env Data'!$D$34*(Inputs!$B$15-Inputs!$B$78)*Inputs!$B$85</f>
        <v>0</v>
      </c>
      <c r="R124" s="139">
        <f>ROUNDUP(((R$95/2000/'Cost Data'!$D$39)/Inputs!$B$86)/'Env Data'!$H$34,0)*'Env Data'!$D$34*(Inputs!$B$15-Inputs!$B$78)*Inputs!$B$86</f>
        <v>0</v>
      </c>
      <c r="S124" s="149">
        <f>ROUNDUP(((S$95/2000/'Cost Data'!$D$39)/Inputs!$B$87)/'Env Data'!$H$34,0)*'Env Data'!$D$34*(Inputs!$B$15-Inputs!$B$78)*Inputs!$B$87</f>
        <v>0</v>
      </c>
    </row>
    <row r="125" spans="1:19" ht="12.75" customHeight="1" hidden="1">
      <c r="A125" s="36" t="s">
        <v>338</v>
      </c>
      <c r="B125" s="139">
        <f>ROUNDUP(((B$95/2000/'Cost Data'!$D$39)/Inputs!$B$84)/'Env Data'!$H$34,0)*'Env Data'!$E$34*(Inputs!$B$15-Inputs!$B$78)*Inputs!$B$84</f>
        <v>0</v>
      </c>
      <c r="C125" s="139">
        <f>ROUNDUP(((C$95/2000/'Cost Data'!$D$39)/Inputs!$B$85)/'Env Data'!$H$34,0)*'Env Data'!$E$34*(Inputs!$B$15-Inputs!$B$78)*Inputs!$B$85</f>
        <v>0</v>
      </c>
      <c r="D125" s="139">
        <f>ROUNDUP(((D$95/2000/'Cost Data'!$D$39)/Inputs!$B$86)/'Env Data'!$H$34,0)*'Env Data'!$E$34*(Inputs!$B$15-Inputs!$B$78)*Inputs!$B$86</f>
        <v>0</v>
      </c>
      <c r="E125" s="149">
        <f>ROUNDUP(((E$95/2000/'Cost Data'!$D$39)/Inputs!$B$87)/'Env Data'!$H$34,0)*'Env Data'!$E$34*(Inputs!$B$15-Inputs!$B$78)*Inputs!$B$87</f>
        <v>0</v>
      </c>
      <c r="F125" s="208"/>
      <c r="G125" s="9"/>
      <c r="H125" s="36" t="s">
        <v>338</v>
      </c>
      <c r="I125" s="398"/>
      <c r="J125" s="398"/>
      <c r="K125" s="398"/>
      <c r="L125" s="399"/>
      <c r="M125" s="208"/>
      <c r="O125" s="36" t="s">
        <v>338</v>
      </c>
      <c r="P125" s="139">
        <f>ROUNDUP(((P$95/2000/'Cost Data'!$D$39)/Inputs!$B$84)/'Env Data'!$H$34,0)*'Env Data'!$E$34*(Inputs!$B$15-Inputs!$B$78)*Inputs!$B$84</f>
        <v>0</v>
      </c>
      <c r="Q125" s="139">
        <f>ROUNDUP(((Q$95/2000/'Cost Data'!$D$39)/Inputs!$B$85)/'Env Data'!$H$34,0)*'Env Data'!$E$34*(Inputs!$B$15-Inputs!$B$78)*Inputs!$B$85</f>
        <v>0</v>
      </c>
      <c r="R125" s="139">
        <f>ROUNDUP(((R$95/2000/'Cost Data'!$D$39)/Inputs!$B$86)/'Env Data'!$H$34,0)*'Env Data'!$E$34*(Inputs!$B$15-Inputs!$B$78)*Inputs!$B$86</f>
        <v>0</v>
      </c>
      <c r="S125" s="149">
        <f>ROUNDUP(((S$95/2000/'Cost Data'!$D$39)/Inputs!$B$87)/'Env Data'!$H$34,0)*'Env Data'!$E$34*(Inputs!$B$15-Inputs!$B$78)*Inputs!$B$87</f>
        <v>0</v>
      </c>
    </row>
    <row r="126" spans="1:19" ht="12.75" customHeight="1" hidden="1" thickBot="1">
      <c r="A126" s="113" t="s">
        <v>174</v>
      </c>
      <c r="B126" s="139">
        <f>ROUNDUP(((B$95/2000/'Cost Data'!$D$39)/Inputs!$B$84)/'Env Data'!$H$34,0)*'Env Data'!$F$34*(Inputs!$B$15-Inputs!$B$78)*Inputs!$B$84</f>
        <v>0</v>
      </c>
      <c r="C126" s="139">
        <f>ROUNDUP(((C$95/2000/'Cost Data'!$D$39)/Inputs!$B$85)/'Env Data'!$H$34,0)*'Env Data'!$F$34*(Inputs!$B$15-Inputs!$B$78)*Inputs!$B$85</f>
        <v>0</v>
      </c>
      <c r="D126" s="139">
        <f>ROUNDUP(((D$95/2000/'Cost Data'!$D$39)/Inputs!$B$86)/'Env Data'!$H$34,0)*'Env Data'!$F$34*(Inputs!$B$15-Inputs!$B$78)*Inputs!$B$86</f>
        <v>0</v>
      </c>
      <c r="E126" s="149">
        <f>ROUNDUP(((E$95/2000/'Cost Data'!$D$39)/Inputs!$B$87)/'Env Data'!$H$34,0)*'Env Data'!$F$34*(Inputs!$B$15-Inputs!$B$78)*Inputs!$B$87</f>
        <v>0</v>
      </c>
      <c r="F126" s="208"/>
      <c r="G126" s="9"/>
      <c r="H126" s="113" t="s">
        <v>174</v>
      </c>
      <c r="I126" s="398"/>
      <c r="J126" s="398"/>
      <c r="K126" s="398"/>
      <c r="L126" s="399"/>
      <c r="M126" s="208"/>
      <c r="O126" s="113" t="s">
        <v>174</v>
      </c>
      <c r="P126" s="139">
        <f>ROUNDUP(((P$95/2000/'Cost Data'!$D$39)/Inputs!$B$84)/'Env Data'!$H$34,0)*'Env Data'!$F$34*(Inputs!$B$15-Inputs!$B$78)*Inputs!$B$84</f>
        <v>0</v>
      </c>
      <c r="Q126" s="139">
        <f>ROUNDUP(((Q$95/2000/'Cost Data'!$D$39)/Inputs!$B$85)/'Env Data'!$H$34,0)*'Env Data'!$F$34*(Inputs!$B$15-Inputs!$B$78)*Inputs!$B$85</f>
        <v>0</v>
      </c>
      <c r="R126" s="139">
        <f>ROUNDUP(((R$95/2000/'Cost Data'!$D$39)/Inputs!$B$86)/'Env Data'!$H$34,0)*'Env Data'!$F$34*(Inputs!$B$15-Inputs!$B$78)*Inputs!$B$86</f>
        <v>0</v>
      </c>
      <c r="S126" s="149">
        <f>ROUNDUP(((S$95/2000/'Cost Data'!$D$39)/Inputs!$B$87)/'Env Data'!$H$34,0)*'Env Data'!$F$34*(Inputs!$B$15-Inputs!$B$78)*Inputs!$B$87</f>
        <v>0</v>
      </c>
    </row>
    <row r="127" spans="1:19" s="14" customFormat="1" ht="12.75" customHeight="1" thickBot="1">
      <c r="A127" s="257" t="s">
        <v>259</v>
      </c>
      <c r="B127" s="258"/>
      <c r="C127" s="258"/>
      <c r="D127" s="258"/>
      <c r="E127" s="259"/>
      <c r="F127" s="260"/>
      <c r="G127" s="13"/>
      <c r="H127" s="257" t="s">
        <v>259</v>
      </c>
      <c r="I127" s="258"/>
      <c r="J127" s="258"/>
      <c r="K127" s="258"/>
      <c r="L127" s="259"/>
      <c r="M127" s="260"/>
      <c r="O127" s="257" t="s">
        <v>259</v>
      </c>
      <c r="P127" s="258"/>
      <c r="Q127" s="258"/>
      <c r="R127" s="258"/>
      <c r="S127" s="259"/>
    </row>
    <row r="128" spans="1:19" ht="12.75" customHeight="1">
      <c r="A128" s="114" t="s">
        <v>156</v>
      </c>
      <c r="B128" s="139">
        <f aca="true" t="shared" si="9" ref="B128:E130">B98</f>
        <v>113.21973221259361</v>
      </c>
      <c r="C128" s="139">
        <f t="shared" si="9"/>
        <v>339.65919663778084</v>
      </c>
      <c r="D128" s="139">
        <f t="shared" si="9"/>
        <v>679.3183932755617</v>
      </c>
      <c r="E128" s="149">
        <f t="shared" si="9"/>
        <v>1132.1973221259361</v>
      </c>
      <c r="F128" s="208"/>
      <c r="G128" s="9"/>
      <c r="H128" s="114" t="s">
        <v>156</v>
      </c>
      <c r="I128" s="139">
        <f aca="true" t="shared" si="10" ref="I128:L130">I98</f>
        <v>0</v>
      </c>
      <c r="J128" s="139">
        <f t="shared" si="10"/>
        <v>0</v>
      </c>
      <c r="K128" s="139">
        <f t="shared" si="10"/>
        <v>0</v>
      </c>
      <c r="L128" s="149">
        <f t="shared" si="10"/>
        <v>0</v>
      </c>
      <c r="M128" s="208"/>
      <c r="O128" s="114" t="s">
        <v>156</v>
      </c>
      <c r="P128" s="139">
        <f aca="true" t="shared" si="11" ref="P128:S130">P98</f>
        <v>113.21973221259361</v>
      </c>
      <c r="Q128" s="139">
        <f t="shared" si="11"/>
        <v>339.65919663778084</v>
      </c>
      <c r="R128" s="139">
        <f t="shared" si="11"/>
        <v>679.3183932755617</v>
      </c>
      <c r="S128" s="149">
        <f t="shared" si="11"/>
        <v>1132.1973221259361</v>
      </c>
    </row>
    <row r="129" spans="1:19" ht="12.75" customHeight="1">
      <c r="A129" s="36" t="s">
        <v>178</v>
      </c>
      <c r="B129" s="139">
        <f t="shared" si="9"/>
        <v>65.31797151410686</v>
      </c>
      <c r="C129" s="139">
        <f t="shared" si="9"/>
        <v>195.95391454232058</v>
      </c>
      <c r="D129" s="139">
        <f t="shared" si="9"/>
        <v>391.90782908464115</v>
      </c>
      <c r="E129" s="149">
        <f t="shared" si="9"/>
        <v>653.1797151410685</v>
      </c>
      <c r="F129" s="208"/>
      <c r="G129" s="9"/>
      <c r="H129" s="36" t="s">
        <v>178</v>
      </c>
      <c r="I129" s="139">
        <f t="shared" si="10"/>
        <v>0</v>
      </c>
      <c r="J129" s="139">
        <f t="shared" si="10"/>
        <v>0</v>
      </c>
      <c r="K129" s="139">
        <f t="shared" si="10"/>
        <v>0</v>
      </c>
      <c r="L129" s="149">
        <f t="shared" si="10"/>
        <v>0</v>
      </c>
      <c r="M129" s="208"/>
      <c r="O129" s="36" t="s">
        <v>178</v>
      </c>
      <c r="P129" s="139">
        <f t="shared" si="11"/>
        <v>65.31797151410686</v>
      </c>
      <c r="Q129" s="139">
        <f t="shared" si="11"/>
        <v>195.95391454232058</v>
      </c>
      <c r="R129" s="139">
        <f t="shared" si="11"/>
        <v>391.90782908464115</v>
      </c>
      <c r="S129" s="149">
        <f t="shared" si="11"/>
        <v>653.1797151410685</v>
      </c>
    </row>
    <row r="130" spans="1:19" ht="25.5" customHeight="1">
      <c r="A130" s="152" t="s">
        <v>258</v>
      </c>
      <c r="B130" s="139">
        <f t="shared" si="9"/>
        <v>0</v>
      </c>
      <c r="C130" s="139">
        <f t="shared" si="9"/>
        <v>0</v>
      </c>
      <c r="D130" s="139">
        <f t="shared" si="9"/>
        <v>0</v>
      </c>
      <c r="E130" s="149">
        <f t="shared" si="9"/>
        <v>0</v>
      </c>
      <c r="F130" s="208"/>
      <c r="G130" s="9"/>
      <c r="H130" s="152" t="s">
        <v>258</v>
      </c>
      <c r="I130" s="139">
        <f t="shared" si="10"/>
        <v>0</v>
      </c>
      <c r="J130" s="139">
        <f t="shared" si="10"/>
        <v>0</v>
      </c>
      <c r="K130" s="139">
        <f t="shared" si="10"/>
        <v>0</v>
      </c>
      <c r="L130" s="149">
        <f t="shared" si="10"/>
        <v>0</v>
      </c>
      <c r="M130" s="208"/>
      <c r="O130" s="152" t="s">
        <v>258</v>
      </c>
      <c r="P130" s="139">
        <f t="shared" si="11"/>
        <v>0</v>
      </c>
      <c r="Q130" s="139">
        <f t="shared" si="11"/>
        <v>0</v>
      </c>
      <c r="R130" s="139">
        <f t="shared" si="11"/>
        <v>0</v>
      </c>
      <c r="S130" s="149">
        <f t="shared" si="11"/>
        <v>0</v>
      </c>
    </row>
    <row r="131" spans="1:19" ht="25.5" customHeight="1">
      <c r="A131" s="152" t="s">
        <v>242</v>
      </c>
      <c r="B131" s="139">
        <f aca="true" t="shared" si="12" ref="B131:E132">B101+B107+B114+B121</f>
        <v>22.046</v>
      </c>
      <c r="C131" s="139">
        <f t="shared" si="12"/>
        <v>66.138</v>
      </c>
      <c r="D131" s="139">
        <f t="shared" si="12"/>
        <v>132.276</v>
      </c>
      <c r="E131" s="143">
        <f t="shared" si="12"/>
        <v>220.46</v>
      </c>
      <c r="F131" s="208"/>
      <c r="G131" s="9"/>
      <c r="H131" s="152" t="s">
        <v>242</v>
      </c>
      <c r="I131" s="139">
        <f aca="true" t="shared" si="13" ref="I131:L132">I101+I107+I114+I121</f>
        <v>0</v>
      </c>
      <c r="J131" s="139">
        <f t="shared" si="13"/>
        <v>0</v>
      </c>
      <c r="K131" s="139">
        <f t="shared" si="13"/>
        <v>0</v>
      </c>
      <c r="L131" s="143">
        <f t="shared" si="13"/>
        <v>0</v>
      </c>
      <c r="M131" s="208"/>
      <c r="O131" s="152" t="s">
        <v>242</v>
      </c>
      <c r="P131" s="139">
        <f aca="true" t="shared" si="14" ref="P131:S132">P101+P107+P114+P121</f>
        <v>22.046</v>
      </c>
      <c r="Q131" s="139">
        <f t="shared" si="14"/>
        <v>66.138</v>
      </c>
      <c r="R131" s="139">
        <f t="shared" si="14"/>
        <v>132.276</v>
      </c>
      <c r="S131" s="143">
        <f t="shared" si="14"/>
        <v>220.46</v>
      </c>
    </row>
    <row r="132" spans="1:19" ht="12.75" customHeight="1">
      <c r="A132" s="36" t="s">
        <v>179</v>
      </c>
      <c r="B132" s="139">
        <f t="shared" si="12"/>
        <v>10.541594847137803</v>
      </c>
      <c r="C132" s="139">
        <f t="shared" si="12"/>
        <v>31.62478454141341</v>
      </c>
      <c r="D132" s="139">
        <f t="shared" si="12"/>
        <v>63.24956908282682</v>
      </c>
      <c r="E132" s="149">
        <f t="shared" si="12"/>
        <v>105.41594847137804</v>
      </c>
      <c r="F132" s="208"/>
      <c r="G132" s="9"/>
      <c r="H132" s="36" t="s">
        <v>179</v>
      </c>
      <c r="I132" s="139">
        <f t="shared" si="13"/>
        <v>0</v>
      </c>
      <c r="J132" s="139">
        <f t="shared" si="13"/>
        <v>0</v>
      </c>
      <c r="K132" s="139">
        <f t="shared" si="13"/>
        <v>0</v>
      </c>
      <c r="L132" s="149">
        <f t="shared" si="13"/>
        <v>0</v>
      </c>
      <c r="M132" s="208"/>
      <c r="O132" s="36" t="s">
        <v>179</v>
      </c>
      <c r="P132" s="139">
        <f t="shared" si="14"/>
        <v>10.541594847137803</v>
      </c>
      <c r="Q132" s="139">
        <f t="shared" si="14"/>
        <v>31.62478454141341</v>
      </c>
      <c r="R132" s="139">
        <f t="shared" si="14"/>
        <v>63.24956908282682</v>
      </c>
      <c r="S132" s="149">
        <f t="shared" si="14"/>
        <v>105.41594847137804</v>
      </c>
    </row>
    <row r="133" spans="1:19" ht="12.75" customHeight="1">
      <c r="A133" s="36" t="s">
        <v>212</v>
      </c>
      <c r="B133" s="139">
        <f>B116+B116+B123</f>
        <v>0</v>
      </c>
      <c r="C133" s="139">
        <f>C116+C116+C123</f>
        <v>0</v>
      </c>
      <c r="D133" s="139">
        <f>D116+D116+D123</f>
        <v>0</v>
      </c>
      <c r="E133" s="149">
        <f>E116+E116+E123</f>
        <v>0</v>
      </c>
      <c r="F133" s="208"/>
      <c r="G133" s="9"/>
      <c r="H133" s="36" t="s">
        <v>212</v>
      </c>
      <c r="I133" s="139">
        <f>I116+I116+I123</f>
        <v>0</v>
      </c>
      <c r="J133" s="139">
        <f>J116+J116+J123</f>
        <v>0</v>
      </c>
      <c r="K133" s="139">
        <f>K116+K116+K123</f>
        <v>0</v>
      </c>
      <c r="L133" s="149">
        <f>L116+L116+L123</f>
        <v>0</v>
      </c>
      <c r="M133" s="208"/>
      <c r="O133" s="36" t="s">
        <v>212</v>
      </c>
      <c r="P133" s="139">
        <f>P116+P116+P123</f>
        <v>0</v>
      </c>
      <c r="Q133" s="139">
        <f>Q116+Q116+Q123</f>
        <v>0</v>
      </c>
      <c r="R133" s="139">
        <f>R116+R116+R123</f>
        <v>0</v>
      </c>
      <c r="S133" s="149">
        <f>S116+S116+S123</f>
        <v>0</v>
      </c>
    </row>
    <row r="134" spans="1:19" ht="12.75" customHeight="1">
      <c r="A134" s="36" t="s">
        <v>340</v>
      </c>
      <c r="B134" s="139">
        <f aca="true" t="shared" si="15" ref="B134:E136">B103+B110+B117+B124</f>
        <v>25.038555747074298</v>
      </c>
      <c r="C134" s="139">
        <f t="shared" si="15"/>
        <v>75.1156672412229</v>
      </c>
      <c r="D134" s="139">
        <f t="shared" si="15"/>
        <v>150.2313344824458</v>
      </c>
      <c r="E134" s="149">
        <f t="shared" si="15"/>
        <v>250.38555747074298</v>
      </c>
      <c r="F134" s="208"/>
      <c r="G134" s="9"/>
      <c r="H134" s="36" t="s">
        <v>340</v>
      </c>
      <c r="I134" s="139">
        <f aca="true" t="shared" si="16" ref="I134:L136">I103+I110+I117+I124</f>
        <v>0</v>
      </c>
      <c r="J134" s="139">
        <f t="shared" si="16"/>
        <v>0</v>
      </c>
      <c r="K134" s="139">
        <f t="shared" si="16"/>
        <v>0</v>
      </c>
      <c r="L134" s="149">
        <f t="shared" si="16"/>
        <v>0</v>
      </c>
      <c r="M134" s="208"/>
      <c r="O134" s="36" t="s">
        <v>340</v>
      </c>
      <c r="P134" s="139">
        <f aca="true" t="shared" si="17" ref="P134:S136">P103+P110+P117+P124</f>
        <v>25.038555747074298</v>
      </c>
      <c r="Q134" s="139">
        <f t="shared" si="17"/>
        <v>75.1156672412229</v>
      </c>
      <c r="R134" s="139">
        <f t="shared" si="17"/>
        <v>150.2313344824458</v>
      </c>
      <c r="S134" s="149">
        <f t="shared" si="17"/>
        <v>250.38555747074298</v>
      </c>
    </row>
    <row r="135" spans="1:19" ht="12.75" customHeight="1">
      <c r="A135" s="36" t="s">
        <v>338</v>
      </c>
      <c r="B135" s="139">
        <f t="shared" si="15"/>
        <v>22.135534790891768</v>
      </c>
      <c r="C135" s="139">
        <f t="shared" si="15"/>
        <v>66.4066043726753</v>
      </c>
      <c r="D135" s="139">
        <f t="shared" si="15"/>
        <v>132.8132087453506</v>
      </c>
      <c r="E135" s="149">
        <f t="shared" si="15"/>
        <v>221.35534790891768</v>
      </c>
      <c r="F135" s="208"/>
      <c r="G135" s="9"/>
      <c r="H135" s="36" t="s">
        <v>338</v>
      </c>
      <c r="I135" s="139">
        <f t="shared" si="16"/>
        <v>0</v>
      </c>
      <c r="J135" s="139">
        <f t="shared" si="16"/>
        <v>0</v>
      </c>
      <c r="K135" s="139">
        <f t="shared" si="16"/>
        <v>0</v>
      </c>
      <c r="L135" s="149">
        <f t="shared" si="16"/>
        <v>0</v>
      </c>
      <c r="M135" s="208"/>
      <c r="O135" s="36" t="s">
        <v>338</v>
      </c>
      <c r="P135" s="139">
        <f t="shared" si="17"/>
        <v>22.135534790891768</v>
      </c>
      <c r="Q135" s="139">
        <f t="shared" si="17"/>
        <v>66.4066043726753</v>
      </c>
      <c r="R135" s="139">
        <f t="shared" si="17"/>
        <v>132.8132087453506</v>
      </c>
      <c r="S135" s="149">
        <f t="shared" si="17"/>
        <v>221.35534790891768</v>
      </c>
    </row>
    <row r="136" spans="1:19" ht="12.75" customHeight="1">
      <c r="A136" s="36" t="s">
        <v>174</v>
      </c>
      <c r="B136" s="139">
        <f t="shared" si="15"/>
        <v>1.7599564546856572</v>
      </c>
      <c r="C136" s="139">
        <f t="shared" si="15"/>
        <v>5.279869364056972</v>
      </c>
      <c r="D136" s="139">
        <f t="shared" si="15"/>
        <v>10.559738728113944</v>
      </c>
      <c r="E136" s="149">
        <f t="shared" si="15"/>
        <v>17.59956454685657</v>
      </c>
      <c r="F136" s="208"/>
      <c r="G136" s="9"/>
      <c r="H136" s="36" t="s">
        <v>174</v>
      </c>
      <c r="I136" s="139">
        <f t="shared" si="16"/>
        <v>0</v>
      </c>
      <c r="J136" s="139">
        <f t="shared" si="16"/>
        <v>0</v>
      </c>
      <c r="K136" s="139">
        <f t="shared" si="16"/>
        <v>0</v>
      </c>
      <c r="L136" s="149">
        <f t="shared" si="16"/>
        <v>0</v>
      </c>
      <c r="M136" s="208"/>
      <c r="O136" s="36" t="s">
        <v>174</v>
      </c>
      <c r="P136" s="139">
        <f t="shared" si="17"/>
        <v>1.7599564546856572</v>
      </c>
      <c r="Q136" s="139">
        <f t="shared" si="17"/>
        <v>5.279869364056972</v>
      </c>
      <c r="R136" s="139">
        <f t="shared" si="17"/>
        <v>10.559738728113944</v>
      </c>
      <c r="S136" s="149">
        <f t="shared" si="17"/>
        <v>17.59956454685657</v>
      </c>
    </row>
    <row r="137" spans="1:19" ht="12.75">
      <c r="A137" s="207" t="s">
        <v>8</v>
      </c>
      <c r="B137" s="42" t="s">
        <v>21</v>
      </c>
      <c r="C137" s="42" t="s">
        <v>18</v>
      </c>
      <c r="D137" s="42" t="s">
        <v>19</v>
      </c>
      <c r="E137" s="150" t="s">
        <v>20</v>
      </c>
      <c r="F137" s="238"/>
      <c r="H137" s="207" t="s">
        <v>8</v>
      </c>
      <c r="I137" s="42" t="s">
        <v>21</v>
      </c>
      <c r="J137" s="42" t="s">
        <v>18</v>
      </c>
      <c r="K137" s="42" t="s">
        <v>19</v>
      </c>
      <c r="L137" s="150" t="s">
        <v>20</v>
      </c>
      <c r="M137" s="238"/>
      <c r="O137" s="207" t="s">
        <v>8</v>
      </c>
      <c r="P137" s="177" t="s">
        <v>21</v>
      </c>
      <c r="Q137" s="177" t="s">
        <v>18</v>
      </c>
      <c r="R137" s="177" t="s">
        <v>19</v>
      </c>
      <c r="S137" s="178" t="s">
        <v>20</v>
      </c>
    </row>
    <row r="138" spans="1:19" ht="12.75">
      <c r="A138" s="36" t="s">
        <v>153</v>
      </c>
      <c r="B138" s="199">
        <f>Inputs!$B$68*2000-(B139+B140)</f>
        <v>0</v>
      </c>
      <c r="C138" s="199">
        <f>Inputs!$B$69*2000-(C139+C140)</f>
        <v>0</v>
      </c>
      <c r="D138" s="199">
        <f>Inputs!$B$70*2000-(D139+D140)</f>
        <v>0</v>
      </c>
      <c r="E138" s="200">
        <f>Inputs!$B$71*2000-(E139+E140)</f>
        <v>0</v>
      </c>
      <c r="F138" s="241"/>
      <c r="H138" s="36" t="s">
        <v>153</v>
      </c>
      <c r="I138" s="199">
        <f>B138</f>
        <v>0</v>
      </c>
      <c r="J138" s="199">
        <f>C138</f>
        <v>0</v>
      </c>
      <c r="K138" s="199">
        <f>D138</f>
        <v>0</v>
      </c>
      <c r="L138" s="200">
        <f>E138</f>
        <v>0</v>
      </c>
      <c r="M138" s="241"/>
      <c r="O138" s="36" t="s">
        <v>153</v>
      </c>
      <c r="P138" s="195">
        <v>0</v>
      </c>
      <c r="Q138" s="195">
        <v>0</v>
      </c>
      <c r="R138" s="195">
        <v>0</v>
      </c>
      <c r="S138" s="196">
        <v>0</v>
      </c>
    </row>
    <row r="139" spans="1:19" ht="12.75">
      <c r="A139" s="49" t="s">
        <v>154</v>
      </c>
      <c r="B139" s="195">
        <f>IF(Lookup!$B$4="Yes",'Cost Calculator'!B$22/Inputs!$B$89*2000,0)</f>
        <v>2000</v>
      </c>
      <c r="C139" s="195">
        <f>IF(Lookup!$B$4="Yes",'Cost Calculator'!C$22/Inputs!$B$89*2000,0)</f>
        <v>6000</v>
      </c>
      <c r="D139" s="195">
        <f>IF(Lookup!$B$4="Yes",'Cost Calculator'!D$22/Inputs!$B$89*2000,0)</f>
        <v>12000</v>
      </c>
      <c r="E139" s="196">
        <f>IF(Lookup!$B$4="Yes",'Cost Calculator'!E$22/Inputs!$B$89*2000,0)</f>
        <v>20000</v>
      </c>
      <c r="F139" s="208"/>
      <c r="H139" s="49" t="s">
        <v>154</v>
      </c>
      <c r="I139" s="195">
        <v>0</v>
      </c>
      <c r="J139" s="195">
        <v>0</v>
      </c>
      <c r="K139" s="195">
        <v>0</v>
      </c>
      <c r="L139" s="196">
        <v>0</v>
      </c>
      <c r="M139" s="208"/>
      <c r="O139" s="49" t="s">
        <v>154</v>
      </c>
      <c r="P139" s="195">
        <f>IF(Lookup!$B$4="Yes",SUM(I138:I140),0)</f>
        <v>2000</v>
      </c>
      <c r="Q139" s="195">
        <f>IF(Lookup!$B$4="Yes",SUM(J138:J140),0)</f>
        <v>6000</v>
      </c>
      <c r="R139" s="195">
        <f>IF(Lookup!$B$4="Yes",SUM(K138:K140),0)</f>
        <v>12000</v>
      </c>
      <c r="S139" s="196">
        <f>IF(Lookup!$B$4="Yes",SUM(L138:L140),0)</f>
        <v>20000</v>
      </c>
    </row>
    <row r="140" spans="1:19" ht="13.5" thickBot="1">
      <c r="A140" s="113" t="s">
        <v>155</v>
      </c>
      <c r="B140" s="197">
        <f>IF(Lookup!$B$4="No",'Cost Calculator'!B$22/VLOOKUP(Lookup!$I$9,'Cost Data'!$A$4:$C$10,3)*2000,0)</f>
        <v>0</v>
      </c>
      <c r="C140" s="197">
        <f>IF(Lookup!$B$4="No",'Cost Calculator'!C$22/VLOOKUP(Lookup!$I$9,'Cost Data'!$A$4:$C$10,3)*2000,0)</f>
        <v>0</v>
      </c>
      <c r="D140" s="197">
        <f>IF(Lookup!$B$4="No",'Cost Calculator'!D$22/VLOOKUP(Lookup!$I$9,'Cost Data'!$A$4:$C$10,3)*2000,0)</f>
        <v>0</v>
      </c>
      <c r="E140" s="198">
        <f>IF(Lookup!$B$4="No",'Cost Calculator'!E$22/VLOOKUP(Lookup!$I$9,'Cost Data'!$A$4:$C$10,3)*2000,0)</f>
        <v>0</v>
      </c>
      <c r="F140" s="208"/>
      <c r="H140" s="113" t="s">
        <v>155</v>
      </c>
      <c r="I140" s="197">
        <f>B139+B140</f>
        <v>2000</v>
      </c>
      <c r="J140" s="197">
        <f>C139+C140</f>
        <v>6000</v>
      </c>
      <c r="K140" s="197">
        <f>D139+D140</f>
        <v>12000</v>
      </c>
      <c r="L140" s="198">
        <f>E139+E140</f>
        <v>20000</v>
      </c>
      <c r="M140" s="208"/>
      <c r="O140" s="113" t="s">
        <v>155</v>
      </c>
      <c r="P140" s="197">
        <f>IF(Lookup!$B$4="No",SUM(I138:I140),0)</f>
        <v>0</v>
      </c>
      <c r="Q140" s="197">
        <f>IF(Lookup!$B$4="No",SUM(J138:J140),0)</f>
        <v>0</v>
      </c>
      <c r="R140" s="197">
        <f>IF(Lookup!$B$4="No",SUM(K138:K140),0)</f>
        <v>0</v>
      </c>
      <c r="S140" s="198">
        <f>IF(Lookup!$B$4="No",SUM(L138:L140),0)</f>
        <v>0</v>
      </c>
    </row>
    <row r="141" spans="1:19" ht="13.5" hidden="1" thickBot="1">
      <c r="A141" s="168" t="s">
        <v>237</v>
      </c>
      <c r="B141" s="169"/>
      <c r="C141" s="169"/>
      <c r="D141" s="169"/>
      <c r="E141" s="170"/>
      <c r="F141" s="208"/>
      <c r="H141" s="168" t="s">
        <v>237</v>
      </c>
      <c r="I141" s="169"/>
      <c r="J141" s="169"/>
      <c r="K141" s="169"/>
      <c r="L141" s="170"/>
      <c r="M141" s="208"/>
      <c r="O141" s="168" t="s">
        <v>237</v>
      </c>
      <c r="P141" s="169"/>
      <c r="Q141" s="169"/>
      <c r="R141" s="169"/>
      <c r="S141" s="170"/>
    </row>
    <row r="142" spans="1:19" ht="12.75" hidden="1">
      <c r="A142" s="114" t="s">
        <v>156</v>
      </c>
      <c r="B142" s="146">
        <f>B$138*'Env Data'!$J$7/2000+B$139*'Env Data'!$J$20/2000</f>
        <v>113.21973221259361</v>
      </c>
      <c r="C142" s="146">
        <f>C$138*'Env Data'!$J$7/2000+C$139*'Env Data'!$J$20/2000</f>
        <v>339.65919663778084</v>
      </c>
      <c r="D142" s="146">
        <f>D$138*'Env Data'!$J$7/2000+D$139*'Env Data'!$J$20/2000</f>
        <v>679.3183932755617</v>
      </c>
      <c r="E142" s="146">
        <f>E$138*'Env Data'!$J$7/2000+E$139*'Env Data'!$J$20/2000</f>
        <v>1132.1973221259361</v>
      </c>
      <c r="F142" s="240"/>
      <c r="H142" s="114" t="s">
        <v>156</v>
      </c>
      <c r="I142" s="146">
        <f>I$138*'Env Data'!$J$7/2000</f>
        <v>0</v>
      </c>
      <c r="J142" s="146">
        <f>J$138*'Env Data'!$J$7/2000</f>
        <v>0</v>
      </c>
      <c r="K142" s="146">
        <f>K$138*'Env Data'!$J$7/2000</f>
        <v>0</v>
      </c>
      <c r="L142" s="146">
        <f>L$138*'Env Data'!$J$7/2000</f>
        <v>0</v>
      </c>
      <c r="M142" s="240"/>
      <c r="O142" s="114" t="s">
        <v>156</v>
      </c>
      <c r="P142" s="146">
        <f>P$139*'Env Data'!$J$20/2000</f>
        <v>113.21973221259361</v>
      </c>
      <c r="Q142" s="146">
        <f>Q$139*'Env Data'!$J$20/2000</f>
        <v>339.65919663778084</v>
      </c>
      <c r="R142" s="146">
        <f>R$139*'Env Data'!$J$20/2000</f>
        <v>679.3183932755617</v>
      </c>
      <c r="S142" s="146">
        <f>S$139*'Env Data'!$J$20/2000</f>
        <v>1132.1973221259361</v>
      </c>
    </row>
    <row r="143" spans="1:19" ht="12.75" hidden="1">
      <c r="A143" s="36" t="s">
        <v>178</v>
      </c>
      <c r="B143" s="134">
        <f>B$138*'Env Data'!$H$7/2000+B$139*'Env Data'!$H$20/2000</f>
        <v>65.31797151410686</v>
      </c>
      <c r="C143" s="134">
        <f>C$138*'Env Data'!$H$7/2000+C$139*'Env Data'!$H$20/2000</f>
        <v>195.95391454232058</v>
      </c>
      <c r="D143" s="134">
        <f>D$138*'Env Data'!$H$7/2000+D$139*'Env Data'!$H$20/2000</f>
        <v>391.90782908464115</v>
      </c>
      <c r="E143" s="134">
        <f>E$138*'Env Data'!$H$7/2000+E$139*'Env Data'!$H$20/2000</f>
        <v>653.1797151410685</v>
      </c>
      <c r="F143" s="240"/>
      <c r="H143" s="36" t="s">
        <v>157</v>
      </c>
      <c r="I143" s="134">
        <f>I$138*'Env Data'!$H$7/2000</f>
        <v>0</v>
      </c>
      <c r="J143" s="134">
        <f>J$138*'Env Data'!$H$7/2000</f>
        <v>0</v>
      </c>
      <c r="K143" s="134">
        <f>K$138*'Env Data'!$H$7/2000</f>
        <v>0</v>
      </c>
      <c r="L143" s="134">
        <f>L$138*'Env Data'!$H$7/2000</f>
        <v>0</v>
      </c>
      <c r="M143" s="240"/>
      <c r="O143" s="36" t="s">
        <v>157</v>
      </c>
      <c r="P143" s="134">
        <f>P$139*'Env Data'!$H$20/2000</f>
        <v>65.31797151410686</v>
      </c>
      <c r="Q143" s="134">
        <f>Q$139*'Env Data'!$H$20/2000</f>
        <v>195.95391454232058</v>
      </c>
      <c r="R143" s="134">
        <f>R$139*'Env Data'!$H$20/2000</f>
        <v>391.90782908464115</v>
      </c>
      <c r="S143" s="134">
        <f>S$139*'Env Data'!$H$20/2000</f>
        <v>653.1797151410685</v>
      </c>
    </row>
    <row r="144" spans="1:19" ht="25.5" customHeight="1" hidden="1">
      <c r="A144" s="152" t="s">
        <v>258</v>
      </c>
      <c r="B144" s="134">
        <f>B$138*'Env Data'!$I$7/2000+B$139*'Env Data'!$I$20/2000</f>
        <v>0</v>
      </c>
      <c r="C144" s="134">
        <f>C$138*'Env Data'!$I$7/2000+C$139*'Env Data'!$I$20/2000</f>
        <v>0</v>
      </c>
      <c r="D144" s="134">
        <f>D$138*'Env Data'!$I$7/2000+D$139*'Env Data'!$I$20/2000</f>
        <v>0</v>
      </c>
      <c r="E144" s="134">
        <f>E$138*'Env Data'!$I$7/2000+E$139*'Env Data'!$I$20/2000</f>
        <v>0</v>
      </c>
      <c r="F144" s="240"/>
      <c r="H144" s="152" t="s">
        <v>258</v>
      </c>
      <c r="I144" s="134">
        <f>I$138*'Env Data'!$I$7/2000</f>
        <v>0</v>
      </c>
      <c r="J144" s="134">
        <f>J$138*'Env Data'!$I$7/2000</f>
        <v>0</v>
      </c>
      <c r="K144" s="134">
        <f>K$138*'Env Data'!$I$7/2000</f>
        <v>0</v>
      </c>
      <c r="L144" s="134">
        <f>L$138*'Env Data'!$I$7/2000</f>
        <v>0</v>
      </c>
      <c r="M144" s="240"/>
      <c r="O144" s="152" t="s">
        <v>258</v>
      </c>
      <c r="P144" s="134">
        <f>P$139*'Env Data'!$I$20/2000</f>
        <v>0</v>
      </c>
      <c r="Q144" s="134">
        <f>Q$139*'Env Data'!$I$20/2000</f>
        <v>0</v>
      </c>
      <c r="R144" s="134">
        <f>R$139*'Env Data'!$I$20/2000</f>
        <v>0</v>
      </c>
      <c r="S144" s="134">
        <f>S$139*'Env Data'!$I$20/2000</f>
        <v>0</v>
      </c>
    </row>
    <row r="145" spans="1:19" ht="25.5" hidden="1">
      <c r="A145" s="152" t="s">
        <v>242</v>
      </c>
      <c r="B145" s="134">
        <f>(B$138/2000)*'Env Data'!$G$7/1000*'Cost Data'!$D$46+(B$139/2000)*'Env Data'!$G$20/1000*'Cost Data'!$D$46</f>
        <v>22.046</v>
      </c>
      <c r="C145" s="134">
        <f>(C$138/2000)*'Env Data'!$G$7/1000*'Cost Data'!$D$46+(C$139/2000)*'Env Data'!$G$20/1000*'Cost Data'!$D$46</f>
        <v>66.138</v>
      </c>
      <c r="D145" s="134">
        <f>(D$138/2000)*'Env Data'!$G$7/1000*'Cost Data'!$D$46+(D$139/2000)*'Env Data'!$G$20/1000*'Cost Data'!$D$46</f>
        <v>132.276</v>
      </c>
      <c r="E145" s="134">
        <f>(E$138/2000)*'Env Data'!$G$7/1000*'Cost Data'!$D$46+(E$139/2000)*'Env Data'!$G$20/1000*'Cost Data'!$D$46</f>
        <v>220.46</v>
      </c>
      <c r="F145" s="240"/>
      <c r="H145" s="152" t="s">
        <v>242</v>
      </c>
      <c r="I145" s="134">
        <f>(I$138/2000)*'Env Data'!$G$7/1000*'Cost Data'!$D$46</f>
        <v>0</v>
      </c>
      <c r="J145" s="134">
        <f>(J$138/2000)*'Env Data'!$G$7/1000*'Cost Data'!$D$46</f>
        <v>0</v>
      </c>
      <c r="K145" s="134">
        <f>(K$138/2000)*'Env Data'!$G$7/1000*'Cost Data'!$D$46</f>
        <v>0</v>
      </c>
      <c r="L145" s="134">
        <f>(L$138/2000)*'Env Data'!$G$7/1000*'Cost Data'!$D$46</f>
        <v>0</v>
      </c>
      <c r="M145" s="240"/>
      <c r="O145" s="152" t="s">
        <v>242</v>
      </c>
      <c r="P145" s="134">
        <f>(P$139/2000)*'Env Data'!$G$20/1000*'Cost Data'!$D$46</f>
        <v>22.046</v>
      </c>
      <c r="Q145" s="134">
        <f>(Q$139/2000)*'Env Data'!$G$20/1000*'Cost Data'!$D$46</f>
        <v>66.138</v>
      </c>
      <c r="R145" s="134">
        <f>(R$139/2000)*'Env Data'!$G$20/1000*'Cost Data'!$D$46</f>
        <v>132.276</v>
      </c>
      <c r="S145" s="134">
        <f>(S$139/2000)*'Env Data'!$G$20/1000*'Cost Data'!$D$46</f>
        <v>220.46</v>
      </c>
    </row>
    <row r="146" spans="1:19" ht="12.75" hidden="1">
      <c r="A146" s="36" t="s">
        <v>179</v>
      </c>
      <c r="B146" s="134">
        <f>B$138*'Env Data'!$B$7/2000+B$139*'Env Data'!$B$20/2000</f>
        <v>10.541594847137803</v>
      </c>
      <c r="C146" s="134">
        <f>C$138*'Env Data'!$B$7/2000+C$139*'Env Data'!$B$20/2000</f>
        <v>31.62478454141341</v>
      </c>
      <c r="D146" s="134">
        <f>D$138*'Env Data'!$B$7/2000+D$139*'Env Data'!$B$20/2000</f>
        <v>63.24956908282682</v>
      </c>
      <c r="E146" s="134">
        <f>E$138*'Env Data'!$B$7/2000+E$139*'Env Data'!$B$20/2000</f>
        <v>105.41594847137804</v>
      </c>
      <c r="F146" s="240"/>
      <c r="H146" s="36" t="s">
        <v>179</v>
      </c>
      <c r="I146" s="134">
        <f>I$138*'Env Data'!$B$7/2000</f>
        <v>0</v>
      </c>
      <c r="J146" s="134">
        <f>J$138*'Env Data'!$B$7/2000</f>
        <v>0</v>
      </c>
      <c r="K146" s="134">
        <f>K$138*'Env Data'!$B$7/2000</f>
        <v>0</v>
      </c>
      <c r="L146" s="134">
        <f>L$138*'Env Data'!$B$7/2000</f>
        <v>0</v>
      </c>
      <c r="M146" s="240"/>
      <c r="O146" s="36" t="s">
        <v>176</v>
      </c>
      <c r="P146" s="134">
        <f>P$139*'Env Data'!$B$20/2000</f>
        <v>10.541594847137803</v>
      </c>
      <c r="Q146" s="134">
        <f>Q$139*'Env Data'!$B$20/2000</f>
        <v>31.62478454141341</v>
      </c>
      <c r="R146" s="134">
        <f>R$139*'Env Data'!$B$20/2000</f>
        <v>63.24956908282682</v>
      </c>
      <c r="S146" s="134">
        <f>S$139*'Env Data'!$B$20/2000</f>
        <v>105.41594847137804</v>
      </c>
    </row>
    <row r="147" spans="1:19" ht="15.75" hidden="1">
      <c r="A147" s="36" t="s">
        <v>340</v>
      </c>
      <c r="B147" s="134">
        <f>B$138*'Env Data'!$D$7/2000+B$139*'Env Data'!$D$20/2000</f>
        <v>25.038555747074298</v>
      </c>
      <c r="C147" s="134">
        <f>C$138*'Env Data'!$D$7/2000+C$139*'Env Data'!$D$20/2000</f>
        <v>75.1156672412229</v>
      </c>
      <c r="D147" s="134">
        <f>D$138*'Env Data'!$D$7/2000+D$139*'Env Data'!$D$20/2000</f>
        <v>150.2313344824458</v>
      </c>
      <c r="E147" s="134">
        <f>E$138*'Env Data'!$D$7/2000+E$139*'Env Data'!$D$20/2000</f>
        <v>250.38555747074298</v>
      </c>
      <c r="F147" s="240"/>
      <c r="H147" s="36" t="s">
        <v>340</v>
      </c>
      <c r="I147" s="134">
        <f>I$138*'Env Data'!$D$7/2000</f>
        <v>0</v>
      </c>
      <c r="J147" s="134">
        <f>J$138*'Env Data'!$D$7/2000</f>
        <v>0</v>
      </c>
      <c r="K147" s="134">
        <f>K$138*'Env Data'!$D$7/2000</f>
        <v>0</v>
      </c>
      <c r="L147" s="134">
        <f>L$138*'Env Data'!$D$7/2000</f>
        <v>0</v>
      </c>
      <c r="M147" s="134">
        <f>M$138*'Env Data'!$D$7/2000</f>
        <v>0</v>
      </c>
      <c r="O147" s="36" t="s">
        <v>340</v>
      </c>
      <c r="P147" s="134">
        <f>P$139*'Env Data'!$D$20/2000</f>
        <v>25.038555747074298</v>
      </c>
      <c r="Q147" s="134">
        <f>Q$139*'Env Data'!$D$20/2000</f>
        <v>75.1156672412229</v>
      </c>
      <c r="R147" s="134">
        <f>R$139*'Env Data'!$D$20/2000</f>
        <v>150.2313344824458</v>
      </c>
      <c r="S147" s="134">
        <f>S$139*'Env Data'!$D$20/2000</f>
        <v>250.38555747074298</v>
      </c>
    </row>
    <row r="148" spans="1:19" ht="15.75" hidden="1">
      <c r="A148" s="36" t="s">
        <v>338</v>
      </c>
      <c r="B148" s="134">
        <f>B$138*'Env Data'!$E$7/2000+B$139*'Env Data'!$E$20/2000</f>
        <v>22.135534790891768</v>
      </c>
      <c r="C148" s="134">
        <f>C$138*'Env Data'!$E$7/2000+C$139*'Env Data'!$E$20/2000</f>
        <v>66.4066043726753</v>
      </c>
      <c r="D148" s="134">
        <f>D$138*'Env Data'!$E$7/2000+D$139*'Env Data'!$E$20/2000</f>
        <v>132.8132087453506</v>
      </c>
      <c r="E148" s="134">
        <f>E$138*'Env Data'!$E$7/2000+E$139*'Env Data'!$E$20/2000</f>
        <v>221.35534790891768</v>
      </c>
      <c r="F148" s="240"/>
      <c r="H148" s="36" t="s">
        <v>338</v>
      </c>
      <c r="I148" s="134">
        <f>I$138*'Env Data'!$E$7/2000</f>
        <v>0</v>
      </c>
      <c r="J148" s="134">
        <f>J$138*'Env Data'!$E$7/2000</f>
        <v>0</v>
      </c>
      <c r="K148" s="134">
        <f>K$138*'Env Data'!$E$7/2000</f>
        <v>0</v>
      </c>
      <c r="L148" s="134">
        <f>L$138*'Env Data'!$E$7/2000</f>
        <v>0</v>
      </c>
      <c r="M148" s="240"/>
      <c r="O148" s="36" t="s">
        <v>338</v>
      </c>
      <c r="P148" s="134">
        <f>P$139*'Env Data'!$E$20/2000</f>
        <v>22.135534790891768</v>
      </c>
      <c r="Q148" s="134">
        <f>Q$139*'Env Data'!$E$20/2000</f>
        <v>66.4066043726753</v>
      </c>
      <c r="R148" s="134">
        <f>R$139*'Env Data'!$E$20/2000</f>
        <v>132.8132087453506</v>
      </c>
      <c r="S148" s="134">
        <f>S$139*'Env Data'!$E$20/2000</f>
        <v>221.35534790891768</v>
      </c>
    </row>
    <row r="149" spans="1:19" ht="13.5" hidden="1" thickBot="1">
      <c r="A149" s="36" t="s">
        <v>174</v>
      </c>
      <c r="B149" s="134">
        <f>B$138*'Env Data'!$F$7/2000+B$139*'Env Data'!$F$20/2000</f>
        <v>1.7599564546856572</v>
      </c>
      <c r="C149" s="134">
        <f>C$138*'Env Data'!$F$7/2000+C$139*'Env Data'!$F$20/2000</f>
        <v>5.279869364056972</v>
      </c>
      <c r="D149" s="134">
        <f>D$138*'Env Data'!$F$7/2000+D$139*'Env Data'!$F$20/2000</f>
        <v>10.559738728113944</v>
      </c>
      <c r="E149" s="134">
        <f>E$138*'Env Data'!$F$7/2000+E$139*'Env Data'!$F$20/2000</f>
        <v>17.59956454685657</v>
      </c>
      <c r="F149" s="240"/>
      <c r="H149" s="36" t="s">
        <v>158</v>
      </c>
      <c r="I149" s="134">
        <f>I$138*'Env Data'!$F$7/2000</f>
        <v>0</v>
      </c>
      <c r="J149" s="134">
        <f>J$138*'Env Data'!$F$7/2000</f>
        <v>0</v>
      </c>
      <c r="K149" s="134">
        <f>K$138*'Env Data'!$F$7/2000</f>
        <v>0</v>
      </c>
      <c r="L149" s="134">
        <f>L$138*'Env Data'!$F$7/2000</f>
        <v>0</v>
      </c>
      <c r="M149" s="240"/>
      <c r="O149" s="36" t="s">
        <v>158</v>
      </c>
      <c r="P149" s="134">
        <f>P$139*'Env Data'!$F$20/2000</f>
        <v>1.7599564546856572</v>
      </c>
      <c r="Q149" s="134">
        <f>Q$139*'Env Data'!$F$20/2000</f>
        <v>5.279869364056972</v>
      </c>
      <c r="R149" s="134">
        <f>R$139*'Env Data'!$F$20/2000</f>
        <v>10.559738728113944</v>
      </c>
      <c r="S149" s="134">
        <f>S$139*'Env Data'!$F$20/2000</f>
        <v>17.59956454685657</v>
      </c>
    </row>
    <row r="150" spans="1:19" ht="13.5" hidden="1" thickBot="1">
      <c r="A150" s="173" t="s">
        <v>241</v>
      </c>
      <c r="B150" s="174"/>
      <c r="C150" s="174"/>
      <c r="D150" s="174"/>
      <c r="E150" s="175"/>
      <c r="F150" s="240"/>
      <c r="H150" s="173" t="s">
        <v>241</v>
      </c>
      <c r="I150" s="174"/>
      <c r="J150" s="174"/>
      <c r="K150" s="174"/>
      <c r="L150" s="175"/>
      <c r="M150" s="240"/>
      <c r="O150" s="173" t="s">
        <v>241</v>
      </c>
      <c r="P150" s="174"/>
      <c r="Q150" s="174"/>
      <c r="R150" s="174"/>
      <c r="S150" s="175"/>
    </row>
    <row r="151" spans="1:19" ht="25.5" hidden="1">
      <c r="A151" s="152" t="s">
        <v>242</v>
      </c>
      <c r="B151" s="138">
        <f>ROUNDUP(((B$138/2000)/Inputs!$B$96)/'Env Data'!$H$30,0)*'Env Data'!$G$30/1000*'Cost Data'!$D$46*Inputs!$B$95*Inputs!$B$96</f>
        <v>0</v>
      </c>
      <c r="C151" s="138">
        <f>ROUNDUP(((C$138/2000)/Inputs!$B$97)/'Env Data'!$H$30,0)*'Env Data'!$G$30/1000*'Cost Data'!$D$46*Inputs!$B$95*Inputs!$B$97</f>
        <v>0</v>
      </c>
      <c r="D151" s="138">
        <f>ROUNDUP(((D$138/2000)/Inputs!$B$98)/'Env Data'!$H$30,0)*'Env Data'!$G$30/1000*'Cost Data'!$D$46*Inputs!$B$95*Inputs!$B$98</f>
        <v>0</v>
      </c>
      <c r="E151" s="144">
        <f>ROUNDUP(((E$138/2000)/Inputs!$B$99)/'Env Data'!$H$30,0)*'Env Data'!$G$30/1000*'Cost Data'!$D$46*Inputs!$B$95*Inputs!$B$99</f>
        <v>0</v>
      </c>
      <c r="F151" s="208"/>
      <c r="H151" s="152" t="s">
        <v>242</v>
      </c>
      <c r="I151" s="138">
        <f>ROUNDUP(((I$138/2000)/Inputs!$B$96)/'Env Data'!$H$30,0)*'Env Data'!$G$30/1000*'Cost Data'!$D$46*Inputs!$B$95*Inputs!$B$96</f>
        <v>0</v>
      </c>
      <c r="J151" s="138">
        <f>ROUNDUP(((J$138/2000)/Inputs!$B$97)/'Env Data'!$H$30,0)*'Env Data'!$G$30/1000*'Cost Data'!$D$46*Inputs!$B$95*Inputs!$B$97</f>
        <v>0</v>
      </c>
      <c r="K151" s="138">
        <f>ROUNDUP(((K$138/2000)/Inputs!$B$98)/'Env Data'!$H$30,0)*'Env Data'!$G$30/1000*'Cost Data'!$D$46*Inputs!$B$95*Inputs!$B$98</f>
        <v>0</v>
      </c>
      <c r="L151" s="144">
        <f>ROUNDUP(((L$138/2000)/Inputs!$B$99)/'Env Data'!$H$30,0)*'Env Data'!$G$30/1000*'Cost Data'!$D$46*Inputs!$B$95*Inputs!$B$99</f>
        <v>0</v>
      </c>
      <c r="M151" s="208"/>
      <c r="O151" s="152" t="s">
        <v>242</v>
      </c>
      <c r="P151" s="389"/>
      <c r="Q151" s="390"/>
      <c r="R151" s="390"/>
      <c r="S151" s="391"/>
    </row>
    <row r="152" spans="1:19" ht="12.75" hidden="1">
      <c r="A152" s="36" t="s">
        <v>179</v>
      </c>
      <c r="B152" s="141">
        <f>ROUNDUP(((B$138/2000)/Inputs!$B$96)/'Env Data'!$H$30,0)*'Env Data'!$B$30*Inputs!$B$95*Inputs!$B$96</f>
        <v>0</v>
      </c>
      <c r="C152" s="141">
        <f>ROUNDUP(((C$138/2000)/Inputs!$B$97)/'Env Data'!$H$30,0)*'Env Data'!$B$30*Inputs!$B$95*Inputs!$B$97</f>
        <v>0</v>
      </c>
      <c r="D152" s="141">
        <f>ROUNDUP(((D$138/2000)/Inputs!$B$98)/'Env Data'!$H$30,0)*'Env Data'!$B$30*Inputs!$B$95*Inputs!$B$98</f>
        <v>0</v>
      </c>
      <c r="E152" s="143">
        <f>ROUNDUP(((E$138/2000)/Inputs!$B$99)/'Env Data'!$H$30,0)*'Env Data'!$B$30*Inputs!$B$95*Inputs!$B$99</f>
        <v>0</v>
      </c>
      <c r="F152" s="208"/>
      <c r="H152" s="36" t="s">
        <v>179</v>
      </c>
      <c r="I152" s="141">
        <f>ROUNDUP(((I$138/2000)/Inputs!$B$96)/'Env Data'!$H$30,0)*'Env Data'!$B$30*Inputs!$B$95*Inputs!$B$96</f>
        <v>0</v>
      </c>
      <c r="J152" s="141">
        <f>ROUNDUP(((J$138/2000)/Inputs!$B$97)/'Env Data'!$H$30,0)*'Env Data'!$B$30*Inputs!$B$95*Inputs!$B$97</f>
        <v>0</v>
      </c>
      <c r="K152" s="141">
        <f>ROUNDUP(((K$138/2000)/Inputs!$B$98)/'Env Data'!$H$30,0)*'Env Data'!$B$30*Inputs!$B$95*Inputs!$B$98</f>
        <v>0</v>
      </c>
      <c r="L152" s="143">
        <f>ROUNDUP(((L$138/2000)/Inputs!$B$99)/'Env Data'!$H$30,0)*'Env Data'!$B$30*Inputs!$B$95*Inputs!$B$99</f>
        <v>0</v>
      </c>
      <c r="M152" s="208"/>
      <c r="O152" s="36" t="s">
        <v>179</v>
      </c>
      <c r="P152" s="392"/>
      <c r="Q152" s="392"/>
      <c r="R152" s="392"/>
      <c r="S152" s="393"/>
    </row>
    <row r="153" spans="1:19" ht="12.75" hidden="1">
      <c r="A153" s="36" t="s">
        <v>212</v>
      </c>
      <c r="B153" s="141">
        <f>ROUNDUP(((B$138/2000)/Inputs!$B$96)/'Env Data'!$H$30,0)*'Env Data'!$C$30*Inputs!$B$95*Inputs!$B$96</f>
        <v>0</v>
      </c>
      <c r="C153" s="141">
        <f>ROUNDUP(((C$138/2000)/Inputs!$B$97)/'Env Data'!$H$30,0)*'Env Data'!$C$30*Inputs!$B$95*Inputs!$B$97</f>
        <v>0</v>
      </c>
      <c r="D153" s="141">
        <f>ROUNDUP(((D$138/2000)/Inputs!$B$98)/'Env Data'!$H$30,0)*'Env Data'!$C$30*Inputs!$B$95*Inputs!$B$98</f>
        <v>0</v>
      </c>
      <c r="E153" s="143">
        <f>ROUNDUP(((E$138/2000)/Inputs!$B$99)/'Env Data'!$H$30,0)*'Env Data'!$C$30*Inputs!$B$95*Inputs!$B$99</f>
        <v>0</v>
      </c>
      <c r="F153" s="208"/>
      <c r="H153" s="36" t="s">
        <v>212</v>
      </c>
      <c r="I153" s="141">
        <f>ROUNDUP(((I$138/2000)/Inputs!$B$96)/'Env Data'!$H$30,0)*'Env Data'!$C$30*Inputs!$B$95*Inputs!$B$96</f>
        <v>0</v>
      </c>
      <c r="J153" s="141">
        <f>ROUNDUP(((J$138/2000)/Inputs!$B$97)/'Env Data'!$H$30,0)*'Env Data'!$C$30*Inputs!$B$95*Inputs!$B$97</f>
        <v>0</v>
      </c>
      <c r="K153" s="141">
        <f>ROUNDUP(((K$138/2000)/Inputs!$B$98)/'Env Data'!$H$30,0)*'Env Data'!$C$30*Inputs!$B$95*Inputs!$B$98</f>
        <v>0</v>
      </c>
      <c r="L153" s="143">
        <f>ROUNDUP(((L$138/2000)/Inputs!$B$99)/'Env Data'!$H$30,0)*'Env Data'!$C$30*Inputs!$B$95*Inputs!$B$99</f>
        <v>0</v>
      </c>
      <c r="M153" s="208"/>
      <c r="O153" s="36" t="s">
        <v>212</v>
      </c>
      <c r="P153" s="392"/>
      <c r="Q153" s="392"/>
      <c r="R153" s="392"/>
      <c r="S153" s="393"/>
    </row>
    <row r="154" spans="1:19" ht="15.75" hidden="1">
      <c r="A154" s="36" t="s">
        <v>340</v>
      </c>
      <c r="B154" s="141">
        <f>ROUNDUP(((B$138/2000)/Inputs!$B$96)/'Env Data'!$H$30,0)*'Env Data'!$D$30*Inputs!$B$95*Inputs!$B$96</f>
        <v>0</v>
      </c>
      <c r="C154" s="141">
        <f>ROUNDUP(((C$138/2000)/Inputs!$B$97)/'Env Data'!$H$30,0)*'Env Data'!$C$30*Inputs!$B$95*Inputs!$B$97</f>
        <v>0</v>
      </c>
      <c r="D154" s="141">
        <f>ROUNDUP(((D$138/2000)/Inputs!$B$98)/'Env Data'!$H$30,0)*'Env Data'!$D$30*Inputs!$B$95*Inputs!$B$98</f>
        <v>0</v>
      </c>
      <c r="E154" s="143">
        <f>ROUNDUP(((E$138/2000)/Inputs!$B$99)/'Env Data'!$H$30,0)*'Env Data'!$D$30*Inputs!$B$95*Inputs!$B$99</f>
        <v>0</v>
      </c>
      <c r="F154" s="208"/>
      <c r="H154" s="36" t="s">
        <v>340</v>
      </c>
      <c r="I154" s="141">
        <f>ROUNDUP(((I$138/2000)/Inputs!$B$96)/'Env Data'!$H$30,0)*'Env Data'!$D$30*Inputs!$B$95*Inputs!$B$96</f>
        <v>0</v>
      </c>
      <c r="J154" s="141">
        <f>ROUNDUP(((J$138/2000)/Inputs!$B$97)/'Env Data'!$H$30,0)*'Env Data'!$C$30*Inputs!$B$95*Inputs!$B$97</f>
        <v>0</v>
      </c>
      <c r="K154" s="141">
        <f>ROUNDUP(((K$138/2000)/Inputs!$B$98)/'Env Data'!$H$30,0)*'Env Data'!$D$30*Inputs!$B$95*Inputs!$B$98</f>
        <v>0</v>
      </c>
      <c r="L154" s="143">
        <f>ROUNDUP(((L$138/2000)/Inputs!$B$99)/'Env Data'!$H$30,0)*'Env Data'!$D$30*Inputs!$B$95*Inputs!$B$99</f>
        <v>0</v>
      </c>
      <c r="M154" s="208"/>
      <c r="O154" s="36" t="s">
        <v>340</v>
      </c>
      <c r="P154" s="392"/>
      <c r="Q154" s="392"/>
      <c r="R154" s="392"/>
      <c r="S154" s="393"/>
    </row>
    <row r="155" spans="1:19" ht="15.75" hidden="1">
      <c r="A155" s="36" t="s">
        <v>338</v>
      </c>
      <c r="B155" s="141">
        <f>ROUNDUP(((B$138/2000)/Inputs!$B$96)/'Env Data'!$H$30,0)*'Env Data'!$E$30*Inputs!$B$95*Inputs!$B$96</f>
        <v>0</v>
      </c>
      <c r="C155" s="141">
        <f>ROUNDUP(((C$138/2000)/Inputs!$B$97)/'Env Data'!$H$30,0)*'Env Data'!$D$30*Inputs!$B$95*Inputs!$B$97</f>
        <v>0</v>
      </c>
      <c r="D155" s="141">
        <f>ROUNDUP(((D$138/2000)/Inputs!$B$98)/'Env Data'!$H$30,0)*'Env Data'!$E$30*Inputs!$B$95*Inputs!$B$98</f>
        <v>0</v>
      </c>
      <c r="E155" s="143">
        <f>ROUNDUP(((E$138/2000)/Inputs!$B$99)/'Env Data'!$H$30,0)*'Env Data'!$E$30*Inputs!$B$95*Inputs!$B$99</f>
        <v>0</v>
      </c>
      <c r="F155" s="208"/>
      <c r="H155" s="36" t="s">
        <v>338</v>
      </c>
      <c r="I155" s="141">
        <f>ROUNDUP(((I$138/2000)/Inputs!$B$96)/'Env Data'!$H$30,0)*'Env Data'!$E$30*Inputs!$B$95*Inputs!$B$96</f>
        <v>0</v>
      </c>
      <c r="J155" s="141">
        <f>ROUNDUP(((J$138/2000)/Inputs!$B$97)/'Env Data'!$H$30,0)*'Env Data'!$D$30*Inputs!$B$95*Inputs!$B$97</f>
        <v>0</v>
      </c>
      <c r="K155" s="141">
        <f>ROUNDUP(((K$138/2000)/Inputs!$B$98)/'Env Data'!$H$30,0)*'Env Data'!$E$30*Inputs!$B$95*Inputs!$B$98</f>
        <v>0</v>
      </c>
      <c r="L155" s="143">
        <f>ROUNDUP(((L$138/2000)/Inputs!$B$99)/'Env Data'!$H$30,0)*'Env Data'!$E$30*Inputs!$B$95*Inputs!$B$99</f>
        <v>0</v>
      </c>
      <c r="M155" s="208"/>
      <c r="O155" s="36" t="s">
        <v>338</v>
      </c>
      <c r="P155" s="392"/>
      <c r="Q155" s="392"/>
      <c r="R155" s="392"/>
      <c r="S155" s="393"/>
    </row>
    <row r="156" spans="1:19" ht="13.5" hidden="1" thickBot="1">
      <c r="A156" s="49" t="s">
        <v>174</v>
      </c>
      <c r="B156" s="141">
        <f>ROUNDUP(((B$138/2000)/Inputs!$B$96)/'Env Data'!$H$30,0)*'Env Data'!$F$30*Inputs!$B$95*Inputs!$B$96</f>
        <v>0</v>
      </c>
      <c r="C156" s="141">
        <f>ROUNDUP(((C$138/2000)/Inputs!$B$97)/'Env Data'!$H$30,0)*'Env Data'!$E$30*Inputs!$B$95*Inputs!$B$97</f>
        <v>0</v>
      </c>
      <c r="D156" s="141">
        <f>ROUNDUP(((D$138/2000)/Inputs!$B$98)/'Env Data'!$H$30,0)*'Env Data'!$F$30*Inputs!$B$95*Inputs!$B$98</f>
        <v>0</v>
      </c>
      <c r="E156" s="143">
        <f>ROUNDUP(((E$138/2000)/Inputs!$B$99)/'Env Data'!$H$30,0)*'Env Data'!$F$30*Inputs!$B$95*Inputs!$B$99</f>
        <v>0</v>
      </c>
      <c r="F156" s="208"/>
      <c r="H156" s="49" t="s">
        <v>174</v>
      </c>
      <c r="I156" s="141">
        <f>ROUNDUP(((I$138/2000)/Inputs!$B$96)/'Env Data'!$H$30,0)*'Env Data'!$F$30*Inputs!$B$95*Inputs!$B$96</f>
        <v>0</v>
      </c>
      <c r="J156" s="141">
        <f>ROUNDUP(((J$138/2000)/Inputs!$B$97)/'Env Data'!$H$30,0)*'Env Data'!$E$30*Inputs!$B$95*Inputs!$B$97</f>
        <v>0</v>
      </c>
      <c r="K156" s="141">
        <f>ROUNDUP(((K$138/2000)/Inputs!$B$98)/'Env Data'!$H$30,0)*'Env Data'!$F$30*Inputs!$B$95*Inputs!$B$98</f>
        <v>0</v>
      </c>
      <c r="L156" s="143">
        <f>ROUNDUP(((L$138/2000)/Inputs!$B$99)/'Env Data'!$H$30,0)*'Env Data'!$F$30*Inputs!$B$95*Inputs!$B$99</f>
        <v>0</v>
      </c>
      <c r="M156" s="208"/>
      <c r="O156" s="49" t="s">
        <v>174</v>
      </c>
      <c r="P156" s="394"/>
      <c r="Q156" s="394"/>
      <c r="R156" s="394"/>
      <c r="S156" s="395"/>
    </row>
    <row r="157" spans="1:19" ht="12.75" customHeight="1" hidden="1" thickBot="1">
      <c r="A157" s="168" t="s">
        <v>284</v>
      </c>
      <c r="B157" s="169"/>
      <c r="C157" s="169"/>
      <c r="D157" s="169"/>
      <c r="E157" s="170"/>
      <c r="F157" s="208"/>
      <c r="G157" s="9"/>
      <c r="H157" s="168" t="s">
        <v>284</v>
      </c>
      <c r="I157" s="169"/>
      <c r="J157" s="169"/>
      <c r="K157" s="169"/>
      <c r="L157" s="170"/>
      <c r="M157" s="208"/>
      <c r="O157" s="168" t="s">
        <v>284</v>
      </c>
      <c r="P157" s="205"/>
      <c r="Q157" s="205"/>
      <c r="R157" s="205"/>
      <c r="S157" s="206"/>
    </row>
    <row r="158" spans="1:19" ht="25.5" customHeight="1" hidden="1">
      <c r="A158" s="152" t="s">
        <v>242</v>
      </c>
      <c r="B158" s="139">
        <f>ROUNDUP(((B$138/2000/'Cost Data'!$D$39)/Inputs!$B$91)/'Env Data'!$H$34,0)*'Env Data'!$G$34/1000*'Cost Data'!$D$46*Inputs!$B$15*Inputs!$B$91</f>
        <v>0</v>
      </c>
      <c r="C158" s="139">
        <f>ROUNDUP(((C$138/2000/'Cost Data'!$D$39)/Inputs!$B$92)/'Env Data'!$H$34,0)*'Env Data'!$G$34/1000*'Cost Data'!$D$46*Inputs!$B$15*Inputs!$B$92</f>
        <v>0</v>
      </c>
      <c r="D158" s="139">
        <f>ROUNDUP(((D$138/2000/'Cost Data'!$D$39)/Inputs!$B$93)/'Env Data'!$H$34,0)*'Env Data'!$G$34/1000*'Cost Data'!$D$46*Inputs!$B$15*Inputs!$B$93</f>
        <v>0</v>
      </c>
      <c r="E158" s="149">
        <f>ROUNDUP(((E$138/2000/'Cost Data'!$D$39)/Inputs!$B$94)/'Env Data'!$H$34,0)*'Env Data'!$G$34/1000*'Cost Data'!$D$46*Inputs!$B$15*Inputs!$B$94</f>
        <v>0</v>
      </c>
      <c r="F158" s="208"/>
      <c r="G158" s="9"/>
      <c r="H158" s="152" t="s">
        <v>242</v>
      </c>
      <c r="I158" s="139">
        <f>ROUNDUP(((I$138/2000/'Cost Data'!$D$39)/Inputs!$B$91)/'Env Data'!$H$34,0)*'Env Data'!$G$34/1000*'Cost Data'!$D$46*Inputs!$B$15*Inputs!$B$91</f>
        <v>0</v>
      </c>
      <c r="J158" s="139">
        <f>ROUNDUP(((J$138/2000/'Cost Data'!$D$39)/Inputs!$B$92)/'Env Data'!$H$34,0)*'Env Data'!$G$34/1000*'Cost Data'!$D$46*Inputs!$B$15*Inputs!$B$92</f>
        <v>0</v>
      </c>
      <c r="K158" s="139">
        <f>ROUNDUP(((K$138/2000/'Cost Data'!$D$39)/Inputs!$B$93)/'Env Data'!$H$34,0)*'Env Data'!$G$34/1000*'Cost Data'!$D$46*Inputs!$B$15*Inputs!$B$93</f>
        <v>0</v>
      </c>
      <c r="L158" s="149">
        <f>ROUNDUP(((L$138/2000/'Cost Data'!$D$39)/Inputs!$B$94)/'Env Data'!$H$34,0)*'Env Data'!$G$34/1000*'Cost Data'!$D$46*Inputs!$B$15*Inputs!$B$94</f>
        <v>0</v>
      </c>
      <c r="M158" s="208"/>
      <c r="O158" s="152" t="s">
        <v>242</v>
      </c>
      <c r="P158" s="392"/>
      <c r="Q158" s="398"/>
      <c r="R158" s="398"/>
      <c r="S158" s="399"/>
    </row>
    <row r="159" spans="1:19" ht="12.75" customHeight="1" hidden="1">
      <c r="A159" s="36" t="s">
        <v>179</v>
      </c>
      <c r="B159" s="139">
        <f>ROUNDUP(((B$138/2000/'Cost Data'!$D$39)/Inputs!$B$91)/'Env Data'!$H$34,0)*'Env Data'!$B$34*Inputs!$B$15*Inputs!$B$91</f>
        <v>0</v>
      </c>
      <c r="C159" s="139">
        <f>ROUNDUP(((C$138/2000/'Cost Data'!$D$39)/Inputs!$B$92)/'Env Data'!$H$34,0)*'Env Data'!$B$34*Inputs!$B$15*Inputs!$B$92</f>
        <v>0</v>
      </c>
      <c r="D159" s="139">
        <f>ROUNDUP(((D$138/2000/'Cost Data'!$D$39)/Inputs!$B$93)/'Env Data'!$H$34,0)*'Env Data'!$B$34*Inputs!$B$15*Inputs!$B$93</f>
        <v>0</v>
      </c>
      <c r="E159" s="149">
        <f>ROUNDUP(((E$138/2000/'Cost Data'!$D$39)/Inputs!$B$94)/'Env Data'!$H$34,0)*'Env Data'!$B$34*Inputs!$B$15*Inputs!$B$94</f>
        <v>0</v>
      </c>
      <c r="F159" s="208"/>
      <c r="G159" s="9"/>
      <c r="H159" s="36" t="s">
        <v>179</v>
      </c>
      <c r="I159" s="139">
        <f>ROUNDUP(((I$138/2000/'Cost Data'!$D$39)/Inputs!$B$91)/'Env Data'!$H$34,0)*'Env Data'!$B$34*Inputs!$B$15*Inputs!$B$91</f>
        <v>0</v>
      </c>
      <c r="J159" s="139">
        <f>ROUNDUP(((J$138/2000/'Cost Data'!$D$39)/Inputs!$B$92)/'Env Data'!$H$34,0)*'Env Data'!$B$34*Inputs!$B$15*Inputs!$B$92</f>
        <v>0</v>
      </c>
      <c r="K159" s="139">
        <f>ROUNDUP(((K$138/2000/'Cost Data'!$D$39)/Inputs!$B$93)/'Env Data'!$H$34,0)*'Env Data'!$B$34*Inputs!$B$15*Inputs!$B$93</f>
        <v>0</v>
      </c>
      <c r="L159" s="149">
        <f>ROUNDUP(((L$138/2000/'Cost Data'!$D$39)/Inputs!$B$94)/'Env Data'!$H$34,0)*'Env Data'!$B$34*Inputs!$B$15*Inputs!$B$94</f>
        <v>0</v>
      </c>
      <c r="M159" s="208"/>
      <c r="O159" s="36" t="s">
        <v>179</v>
      </c>
      <c r="P159" s="398"/>
      <c r="Q159" s="398"/>
      <c r="R159" s="398"/>
      <c r="S159" s="399"/>
    </row>
    <row r="160" spans="1:19" ht="12.75" customHeight="1" hidden="1">
      <c r="A160" s="36" t="s">
        <v>212</v>
      </c>
      <c r="B160" s="139">
        <f>ROUNDUP(((B$138/2000/'Cost Data'!$D$39)/Inputs!$B$91)/'Env Data'!$H$34,0)*'Env Data'!$C$34*Inputs!$B$15*Inputs!$B$91</f>
        <v>0</v>
      </c>
      <c r="C160" s="139">
        <f>ROUNDUP(((C$138/2000/'Cost Data'!$D$39)/Inputs!$B$92)/'Env Data'!$H$34,0)*'Env Data'!$C$34*Inputs!$B$15*Inputs!$B$92</f>
        <v>0</v>
      </c>
      <c r="D160" s="139">
        <f>ROUNDUP(((D$138/2000/'Cost Data'!$D$39)/Inputs!$B$93)/'Env Data'!$H$34,0)*'Env Data'!$C$34*Inputs!$B$15*Inputs!$B$93</f>
        <v>0</v>
      </c>
      <c r="E160" s="149">
        <f>ROUNDUP(((E$138/2000/'Cost Data'!$D$39)/Inputs!$B$94)/'Env Data'!$H$34,0)*'Env Data'!$C$34*Inputs!$B$15*Inputs!$B$94</f>
        <v>0</v>
      </c>
      <c r="F160" s="208"/>
      <c r="G160" s="9"/>
      <c r="H160" s="36" t="s">
        <v>212</v>
      </c>
      <c r="I160" s="139">
        <f>ROUNDUP(((I$138/2000/'Cost Data'!$D$39)/Inputs!$B$91)/'Env Data'!$H$34,0)*'Env Data'!$C$34*Inputs!$B$15*Inputs!$B$91</f>
        <v>0</v>
      </c>
      <c r="J160" s="139">
        <f>ROUNDUP(((J$138/2000/'Cost Data'!$D$39)/Inputs!$B$92)/'Env Data'!$H$34,0)*'Env Data'!$C$34*Inputs!$B$15*Inputs!$B$92</f>
        <v>0</v>
      </c>
      <c r="K160" s="139">
        <f>ROUNDUP(((K$138/2000/'Cost Data'!$D$39)/Inputs!$B$93)/'Env Data'!$H$34,0)*'Env Data'!$C$34*Inputs!$B$15*Inputs!$B$93</f>
        <v>0</v>
      </c>
      <c r="L160" s="149">
        <f>ROUNDUP(((L$138/2000/'Cost Data'!$D$39)/Inputs!$B$94)/'Env Data'!$H$34,0)*'Env Data'!$C$34*Inputs!$B$15*Inputs!$B$94</f>
        <v>0</v>
      </c>
      <c r="M160" s="208"/>
      <c r="O160" s="36" t="s">
        <v>212</v>
      </c>
      <c r="P160" s="398"/>
      <c r="Q160" s="398"/>
      <c r="R160" s="398"/>
      <c r="S160" s="399"/>
    </row>
    <row r="161" spans="1:19" ht="12.75" customHeight="1" hidden="1">
      <c r="A161" s="36" t="s">
        <v>340</v>
      </c>
      <c r="B161" s="139">
        <f>ROUNDUP(((B$138/2000/'Cost Data'!$D$39)/Inputs!$B$91)/'Env Data'!$H$34,0)*'Env Data'!$D$34*Inputs!$B$15*Inputs!$B$91</f>
        <v>0</v>
      </c>
      <c r="C161" s="139">
        <f>ROUNDUP(((C$138/2000/'Cost Data'!$D$39)/Inputs!$B$92)/'Env Data'!$H$34,0)*'Env Data'!$D$34*Inputs!$B$15*Inputs!$B$92</f>
        <v>0</v>
      </c>
      <c r="D161" s="139">
        <f>ROUNDUP(((D$138/2000/'Cost Data'!$D$39)/Inputs!$B$93)/'Env Data'!$H$34,0)*'Env Data'!$D$34*Inputs!$B$15*Inputs!$B$93</f>
        <v>0</v>
      </c>
      <c r="E161" s="149">
        <f>ROUNDUP(((E$138/2000/'Cost Data'!$D$39)/Inputs!$B$94)/'Env Data'!$H$34,0)*'Env Data'!$D$34*Inputs!$B$15*Inputs!$B$94</f>
        <v>0</v>
      </c>
      <c r="F161" s="208"/>
      <c r="G161" s="9"/>
      <c r="H161" s="36" t="s">
        <v>340</v>
      </c>
      <c r="I161" s="139">
        <f>ROUNDUP(((I$138/2000/'Cost Data'!$D$39)/Inputs!$B$91)/'Env Data'!$H$34,0)*'Env Data'!$D$34*Inputs!$B$15*Inputs!$B$91</f>
        <v>0</v>
      </c>
      <c r="J161" s="139">
        <f>ROUNDUP(((J$138/2000/'Cost Data'!$D$39)/Inputs!$B$92)/'Env Data'!$H$34,0)*'Env Data'!$D$34*Inputs!$B$15*Inputs!$B$92</f>
        <v>0</v>
      </c>
      <c r="K161" s="139">
        <f>ROUNDUP(((K$138/2000/'Cost Data'!$D$39)/Inputs!$B$93)/'Env Data'!$H$34,0)*'Env Data'!$D$34*Inputs!$B$15*Inputs!$B$93</f>
        <v>0</v>
      </c>
      <c r="L161" s="149">
        <f>ROUNDUP(((L$138/2000/'Cost Data'!$D$39)/Inputs!$B$94)/'Env Data'!$H$34,0)*'Env Data'!$D$34*Inputs!$B$15*Inputs!$B$94</f>
        <v>0</v>
      </c>
      <c r="M161" s="208"/>
      <c r="O161" s="36" t="s">
        <v>340</v>
      </c>
      <c r="P161" s="398"/>
      <c r="Q161" s="398"/>
      <c r="R161" s="398"/>
      <c r="S161" s="399"/>
    </row>
    <row r="162" spans="1:19" ht="12.75" customHeight="1" hidden="1">
      <c r="A162" s="36" t="s">
        <v>338</v>
      </c>
      <c r="B162" s="139">
        <f>ROUNDUP(((B$138/2000/'Cost Data'!$D$39)/Inputs!$B$91)/'Env Data'!$H$34,0)*'Env Data'!$E$34*Inputs!$B$15*Inputs!$B$91</f>
        <v>0</v>
      </c>
      <c r="C162" s="139">
        <f>ROUNDUP(((C$138/2000/'Cost Data'!$D$39)/Inputs!$B$92)/'Env Data'!$H$34,0)*'Env Data'!$E$34*Inputs!$B$15*Inputs!$B$92</f>
        <v>0</v>
      </c>
      <c r="D162" s="139">
        <f>ROUNDUP(((D$138/2000/'Cost Data'!$D$39)/Inputs!$B$93)/'Env Data'!$H$34,0)*'Env Data'!$E$34*Inputs!$B$15*Inputs!$B$93</f>
        <v>0</v>
      </c>
      <c r="E162" s="149">
        <f>ROUNDUP(((E$138/2000/'Cost Data'!$D$39)/Inputs!$B$94)/'Env Data'!$H$34,0)*'Env Data'!$E$34*Inputs!$B$15*Inputs!$B$94</f>
        <v>0</v>
      </c>
      <c r="F162" s="208"/>
      <c r="G162" s="9"/>
      <c r="H162" s="36" t="s">
        <v>338</v>
      </c>
      <c r="I162" s="139">
        <f>ROUNDUP(((I$138/2000/'Cost Data'!$D$39)/Inputs!$B$91)/'Env Data'!$H$34,0)*'Env Data'!$E$34*Inputs!$B$15*Inputs!$B$91</f>
        <v>0</v>
      </c>
      <c r="J162" s="139">
        <f>ROUNDUP(((J$138/2000/'Cost Data'!$D$39)/Inputs!$B$92)/'Env Data'!$H$34,0)*'Env Data'!$E$34*Inputs!$B$15*Inputs!$B$92</f>
        <v>0</v>
      </c>
      <c r="K162" s="139">
        <f>ROUNDUP(((K$138/2000/'Cost Data'!$D$39)/Inputs!$B$93)/'Env Data'!$H$34,0)*'Env Data'!$E$34*Inputs!$B$15*Inputs!$B$93</f>
        <v>0</v>
      </c>
      <c r="L162" s="149">
        <f>ROUNDUP(((L$138/2000/'Cost Data'!$D$39)/Inputs!$B$94)/'Env Data'!$H$34,0)*'Env Data'!$E$34*Inputs!$B$15*Inputs!$B$94</f>
        <v>0</v>
      </c>
      <c r="M162" s="208"/>
      <c r="O162" s="36" t="s">
        <v>338</v>
      </c>
      <c r="P162" s="398"/>
      <c r="Q162" s="398"/>
      <c r="R162" s="398"/>
      <c r="S162" s="399"/>
    </row>
    <row r="163" spans="1:19" ht="12.75" customHeight="1" hidden="1" thickBot="1">
      <c r="A163" s="113" t="s">
        <v>174</v>
      </c>
      <c r="B163" s="139">
        <f>ROUNDUP(((B$138/2000/'Cost Data'!$D$39)/Inputs!$B$91)/'Env Data'!$H$34,0)*'Env Data'!$F$34*Inputs!$B$15*Inputs!$B$91</f>
        <v>0</v>
      </c>
      <c r="C163" s="139">
        <f>ROUNDUP(((C$138/2000/'Cost Data'!$D$39)/Inputs!$B$92)/'Env Data'!$H$34,0)*'Env Data'!$F$34*Inputs!$B$15*Inputs!$B$92</f>
        <v>0</v>
      </c>
      <c r="D163" s="139">
        <f>ROUNDUP(((D$138/2000/'Cost Data'!$D$39)/Inputs!$B$93)/'Env Data'!$H$34,0)*'Env Data'!$F$34*Inputs!$B$15*Inputs!$B$93</f>
        <v>0</v>
      </c>
      <c r="E163" s="149">
        <f>ROUNDUP(((E$138/2000/'Cost Data'!$D$39)/Inputs!$B$94)/'Env Data'!$H$34,0)*'Env Data'!$F$34*Inputs!$B$15*Inputs!$B$94</f>
        <v>0</v>
      </c>
      <c r="F163" s="208"/>
      <c r="G163" s="9"/>
      <c r="H163" s="113" t="s">
        <v>174</v>
      </c>
      <c r="I163" s="139">
        <f>ROUNDUP(((I$138/2000/'Cost Data'!$D$39)/Inputs!$B$91)/'Env Data'!$H$34,0)*'Env Data'!$F$34*Inputs!$B$15*Inputs!$B$91</f>
        <v>0</v>
      </c>
      <c r="J163" s="139">
        <f>ROUNDUP(((J$138/2000/'Cost Data'!$D$39)/Inputs!$B$92)/'Env Data'!$H$34,0)*'Env Data'!$F$34*Inputs!$B$15*Inputs!$B$92</f>
        <v>0</v>
      </c>
      <c r="K163" s="139">
        <f>ROUNDUP(((K$138/2000/'Cost Data'!$D$39)/Inputs!$B$93)/'Env Data'!$H$34,0)*'Env Data'!$F$34*Inputs!$B$15*Inputs!$B$93</f>
        <v>0</v>
      </c>
      <c r="L163" s="149">
        <f>ROUNDUP(((L$138/2000/'Cost Data'!$D$39)/Inputs!$B$94)/'Env Data'!$H$34,0)*'Env Data'!$F$34*Inputs!$B$15*Inputs!$B$94</f>
        <v>0</v>
      </c>
      <c r="M163" s="208"/>
      <c r="O163" s="113" t="s">
        <v>174</v>
      </c>
      <c r="P163" s="398"/>
      <c r="Q163" s="398"/>
      <c r="R163" s="398"/>
      <c r="S163" s="399"/>
    </row>
    <row r="164" spans="1:19" ht="12.75" customHeight="1" hidden="1" thickBot="1">
      <c r="A164" s="168" t="s">
        <v>382</v>
      </c>
      <c r="B164" s="169"/>
      <c r="C164" s="169"/>
      <c r="D164" s="169"/>
      <c r="E164" s="170"/>
      <c r="F164" s="208"/>
      <c r="G164" s="9"/>
      <c r="H164" s="168" t="s">
        <v>382</v>
      </c>
      <c r="I164" s="169"/>
      <c r="J164" s="169"/>
      <c r="K164" s="169"/>
      <c r="L164" s="170"/>
      <c r="M164" s="208"/>
      <c r="O164" s="168" t="s">
        <v>382</v>
      </c>
      <c r="P164" s="205"/>
      <c r="Q164" s="205"/>
      <c r="R164" s="205"/>
      <c r="S164" s="206"/>
    </row>
    <row r="165" spans="1:19" ht="25.5" customHeight="1" hidden="1">
      <c r="A165" s="152" t="s">
        <v>242</v>
      </c>
      <c r="B165" s="139">
        <f>ROUNDUP(((B$139/2000/'Cost Data'!$D$39)/Inputs!$B$91)/'Env Data'!$H$34,0)*'Env Data'!$G$34/1000*'Cost Data'!$D$46*(Inputs!$B$15-Inputs!$B$90)*Inputs!$B$91</f>
        <v>0</v>
      </c>
      <c r="C165" s="139">
        <f>ROUNDUP(((C$139/2000/'Cost Data'!$D$39)/Inputs!$B$92)/'Env Data'!$H$34,0)*'Env Data'!$G$34/1000*'Cost Data'!$D$46*(Inputs!$B$15-Inputs!$B$90)*Inputs!$B$92</f>
        <v>0</v>
      </c>
      <c r="D165" s="139">
        <f>ROUNDUP(((D$139/2000/'Cost Data'!$D$39)/Inputs!$B$93)/'Env Data'!$H$34,0)*'Env Data'!$G$34/1000*'Cost Data'!$D$46*(Inputs!$B$15-Inputs!$B$90)*Inputs!$B$93</f>
        <v>0</v>
      </c>
      <c r="E165" s="149">
        <f>ROUNDUP(((E$139/2000/'Cost Data'!$D$39)/Inputs!$B$94)/'Env Data'!$H$34,0)*'Env Data'!$G$34/1000*'Cost Data'!$D$46*(Inputs!$B$15-Inputs!$B$90)*Inputs!$B$94</f>
        <v>0</v>
      </c>
      <c r="F165" s="208"/>
      <c r="G165" s="9"/>
      <c r="H165" s="152" t="s">
        <v>242</v>
      </c>
      <c r="I165" s="389"/>
      <c r="J165" s="396"/>
      <c r="K165" s="396"/>
      <c r="L165" s="397"/>
      <c r="M165" s="208"/>
      <c r="O165" s="152" t="s">
        <v>242</v>
      </c>
      <c r="P165" s="139">
        <f>ROUNDUP(((P$139/2000/'Cost Data'!$D$39)/Inputs!$B$91)/'Env Data'!$H$34,0)*'Env Data'!$G$34/1000*'Cost Data'!$D$46*(Inputs!$B$15-Inputs!$B$90)*Inputs!$B$91</f>
        <v>0</v>
      </c>
      <c r="Q165" s="139">
        <f>ROUNDUP(((Q$139/2000/'Cost Data'!$D$39)/Inputs!$B$92)/'Env Data'!$H$34,0)*'Env Data'!$G$34/1000*'Cost Data'!$D$46*(Inputs!$B$15-Inputs!$B$90)*Inputs!$B$92</f>
        <v>0</v>
      </c>
      <c r="R165" s="139">
        <f>ROUNDUP(((R$139/2000/'Cost Data'!$D$39)/Inputs!$B$93)/'Env Data'!$H$34,0)*'Env Data'!$G$34/1000*'Cost Data'!$D$46*(Inputs!$B$15-Inputs!$B$90)*Inputs!$B$93</f>
        <v>0</v>
      </c>
      <c r="S165" s="149">
        <f>ROUNDUP(((S$139/2000/'Cost Data'!$D$39)/Inputs!$B$94)/'Env Data'!$H$34,0)*'Env Data'!$G$34/1000*'Cost Data'!$D$46*(Inputs!$B$15-Inputs!$B$90)*Inputs!$B$94</f>
        <v>0</v>
      </c>
    </row>
    <row r="166" spans="1:19" ht="12.75" customHeight="1" hidden="1">
      <c r="A166" s="36" t="s">
        <v>179</v>
      </c>
      <c r="B166" s="139">
        <f>ROUNDUP(((B$139/2000/'Cost Data'!$D$39)/Inputs!$B$91)/'Env Data'!$H$34,0)*'Env Data'!$B$34*(Inputs!$B$15-Inputs!$B$90)*Inputs!$B$91</f>
        <v>0</v>
      </c>
      <c r="C166" s="139">
        <f>ROUNDUP(((C$139/2000/'Cost Data'!$D$39)/Inputs!$B$92)/'Env Data'!$H$34,0)*'Env Data'!$B$34*(Inputs!$B$15-Inputs!$B$90)*Inputs!$B$92</f>
        <v>0</v>
      </c>
      <c r="D166" s="139">
        <f>ROUNDUP(((D$139/2000/'Cost Data'!$D$39)/Inputs!$B$93)/'Env Data'!$H$34,0)*'Env Data'!$B$34*(Inputs!$B$15-Inputs!$B$90)*Inputs!$B$93</f>
        <v>0</v>
      </c>
      <c r="E166" s="149">
        <f>ROUNDUP(((E$139/2000/'Cost Data'!$D$39)/Inputs!$B$94)/'Env Data'!$H$34,0)*'Env Data'!$B$34*(Inputs!$B$15-Inputs!$B$90)*Inputs!$B$94</f>
        <v>0</v>
      </c>
      <c r="F166" s="208"/>
      <c r="G166" s="9"/>
      <c r="H166" s="36" t="s">
        <v>179</v>
      </c>
      <c r="I166" s="398"/>
      <c r="J166" s="398"/>
      <c r="K166" s="398"/>
      <c r="L166" s="399"/>
      <c r="M166" s="208"/>
      <c r="O166" s="36" t="s">
        <v>179</v>
      </c>
      <c r="P166" s="139">
        <f>ROUNDUP(((P$139/2000/'Cost Data'!$D$39)/Inputs!$B$91)/'Env Data'!$H$34,0)*'Env Data'!$B$34*(Inputs!$B$15-Inputs!$B$90)*Inputs!$B$91</f>
        <v>0</v>
      </c>
      <c r="Q166" s="139">
        <f>ROUNDUP(((Q$139/2000/'Cost Data'!$D$39)/Inputs!$B$92)/'Env Data'!$H$34,0)*'Env Data'!$B$34*(Inputs!$B$15-Inputs!$B$90)*Inputs!$B$92</f>
        <v>0</v>
      </c>
      <c r="R166" s="139">
        <f>ROUNDUP(((R$139/2000/'Cost Data'!$D$39)/Inputs!$B$93)/'Env Data'!$H$34,0)*'Env Data'!$B$34*(Inputs!$B$15-Inputs!$B$90)*Inputs!$B$93</f>
        <v>0</v>
      </c>
      <c r="S166" s="149">
        <f>ROUNDUP(((S$139/2000/'Cost Data'!$D$39)/Inputs!$B$94)/'Env Data'!$H$34,0)*'Env Data'!$B$34*(Inputs!$B$15-Inputs!$B$90)*Inputs!$B$94</f>
        <v>0</v>
      </c>
    </row>
    <row r="167" spans="1:19" ht="12.75" customHeight="1" hidden="1">
      <c r="A167" s="36" t="s">
        <v>212</v>
      </c>
      <c r="B167" s="139">
        <f>ROUNDUP(((B$139/2000/'Cost Data'!$D$39)/Inputs!$B$91)/'Env Data'!$H$34,0)*'Env Data'!$C$34*(Inputs!$B$15-Inputs!$B$90)*Inputs!$B$91</f>
        <v>0</v>
      </c>
      <c r="C167" s="139">
        <f>ROUNDUP(((C$139/2000/'Cost Data'!$D$39)/Inputs!$B$92)/'Env Data'!$H$34,0)*'Env Data'!$C$34*(Inputs!$B$15-Inputs!$B$90)*Inputs!$B$92</f>
        <v>0</v>
      </c>
      <c r="D167" s="139">
        <f>ROUNDUP(((D$139/2000/'Cost Data'!$D$39)/Inputs!$B$93)/'Env Data'!$H$34,0)*'Env Data'!$C$34*(Inputs!$B$15-Inputs!$B$90)*Inputs!$B$93</f>
        <v>0</v>
      </c>
      <c r="E167" s="149">
        <f>ROUNDUP(((E$139/2000/'Cost Data'!$D$39)/Inputs!$B$94)/'Env Data'!$H$34,0)*'Env Data'!$C$34*(Inputs!$B$15-Inputs!$B$90)*Inputs!$B$94</f>
        <v>0</v>
      </c>
      <c r="F167" s="208"/>
      <c r="G167" s="9"/>
      <c r="H167" s="36" t="s">
        <v>212</v>
      </c>
      <c r="I167" s="398"/>
      <c r="J167" s="398"/>
      <c r="K167" s="398"/>
      <c r="L167" s="399"/>
      <c r="M167" s="208"/>
      <c r="O167" s="36" t="s">
        <v>212</v>
      </c>
      <c r="P167" s="139">
        <f>ROUNDUP(((P$139/2000/'Cost Data'!$D$39)/Inputs!$B$91)/'Env Data'!$H$34,0)*'Env Data'!$C$34*(Inputs!$B$15-Inputs!$B$90)*Inputs!$B$91</f>
        <v>0</v>
      </c>
      <c r="Q167" s="139">
        <f>ROUNDUP(((Q$139/2000/'Cost Data'!$D$39)/Inputs!$B$92)/'Env Data'!$H$34,0)*'Env Data'!$C$34*(Inputs!$B$15-Inputs!$B$90)*Inputs!$B$92</f>
        <v>0</v>
      </c>
      <c r="R167" s="139">
        <f>ROUNDUP(((R$139/2000/'Cost Data'!$D$39)/Inputs!$B$93)/'Env Data'!$H$34,0)*'Env Data'!$C$34*(Inputs!$B$15-Inputs!$B$90)*Inputs!$B$93</f>
        <v>0</v>
      </c>
      <c r="S167" s="149">
        <f>ROUNDUP(((S$139/2000/'Cost Data'!$D$39)/Inputs!$B$94)/'Env Data'!$H$34,0)*'Env Data'!$C$34*(Inputs!$B$15-Inputs!$B$90)*Inputs!$B$94</f>
        <v>0</v>
      </c>
    </row>
    <row r="168" spans="1:19" ht="12.75" customHeight="1" hidden="1">
      <c r="A168" s="36" t="s">
        <v>340</v>
      </c>
      <c r="B168" s="139">
        <f>ROUNDUP(((B$139/2000/'Cost Data'!$D$39)/Inputs!$B$91)/'Env Data'!$H$34,0)*'Env Data'!$D$34*(Inputs!$B$15-Inputs!$B$90)*Inputs!$B$91</f>
        <v>0</v>
      </c>
      <c r="C168" s="139">
        <f>ROUNDUP(((C$139/2000/'Cost Data'!$D$39)/Inputs!$B$92)/'Env Data'!$H$34,0)*'Env Data'!$D$34*(Inputs!$B$15-Inputs!$B$90)*Inputs!$B$92</f>
        <v>0</v>
      </c>
      <c r="D168" s="139">
        <f>ROUNDUP(((D$139/2000/'Cost Data'!$D$39)/Inputs!$B$93)/'Env Data'!$H$34,0)*'Env Data'!$D$34*(Inputs!$B$15-Inputs!$B$90)*Inputs!$B$93</f>
        <v>0</v>
      </c>
      <c r="E168" s="149">
        <f>ROUNDUP(((E$139/2000/'Cost Data'!$D$39)/Inputs!$B$94)/'Env Data'!$H$34,0)*'Env Data'!$D$34*(Inputs!$B$15-Inputs!$B$90)*Inputs!$B$94</f>
        <v>0</v>
      </c>
      <c r="F168" s="208"/>
      <c r="G168" s="9"/>
      <c r="H168" s="36" t="s">
        <v>340</v>
      </c>
      <c r="I168" s="398"/>
      <c r="J168" s="398"/>
      <c r="K168" s="398"/>
      <c r="L168" s="399"/>
      <c r="M168" s="208"/>
      <c r="O168" s="36" t="s">
        <v>340</v>
      </c>
      <c r="P168" s="139">
        <f>ROUNDUP(((P$139/2000/'Cost Data'!$D$39)/Inputs!$B$91)/'Env Data'!$H$34,0)*'Env Data'!$D$34*(Inputs!$B$15-Inputs!$B$90)*Inputs!$B$91</f>
        <v>0</v>
      </c>
      <c r="Q168" s="139">
        <f>ROUNDUP(((Q$139/2000/'Cost Data'!$D$39)/Inputs!$B$92)/'Env Data'!$H$34,0)*'Env Data'!$D$34*(Inputs!$B$15-Inputs!$B$90)*Inputs!$B$92</f>
        <v>0</v>
      </c>
      <c r="R168" s="139">
        <f>ROUNDUP(((R$139/2000/'Cost Data'!$D$39)/Inputs!$B$93)/'Env Data'!$H$34,0)*'Env Data'!$D$34*(Inputs!$B$15-Inputs!$B$90)*Inputs!$B$93</f>
        <v>0</v>
      </c>
      <c r="S168" s="149">
        <f>ROUNDUP(((S$139/2000/'Cost Data'!$D$39)/Inputs!$B$94)/'Env Data'!$H$34,0)*'Env Data'!$D$34*(Inputs!$B$15-Inputs!$B$90)*Inputs!$B$94</f>
        <v>0</v>
      </c>
    </row>
    <row r="169" spans="1:19" ht="12.75" customHeight="1" hidden="1">
      <c r="A169" s="36" t="s">
        <v>338</v>
      </c>
      <c r="B169" s="139">
        <f>ROUNDUP(((B$139/2000/'Cost Data'!$D$39)/Inputs!$B$91)/'Env Data'!$H$34,0)*'Env Data'!$E$34*(Inputs!$B$15-Inputs!$B$90)*Inputs!$B$91</f>
        <v>0</v>
      </c>
      <c r="C169" s="139">
        <f>ROUNDUP(((C$139/2000/'Cost Data'!$D$39)/Inputs!$B$92)/'Env Data'!$H$34,0)*'Env Data'!$E$34*(Inputs!$B$15-Inputs!$B$90)*Inputs!$B$92</f>
        <v>0</v>
      </c>
      <c r="D169" s="139">
        <f>ROUNDUP(((D$139/2000/'Cost Data'!$D$39)/Inputs!$B$93)/'Env Data'!$H$34,0)*'Env Data'!$E$34*(Inputs!$B$15-Inputs!$B$90)*Inputs!$B$93</f>
        <v>0</v>
      </c>
      <c r="E169" s="149">
        <f>ROUNDUP(((E$139/2000/'Cost Data'!$D$39)/Inputs!$B$94)/'Env Data'!$H$34,0)*'Env Data'!$E$34*(Inputs!$B$15-Inputs!$B$90)*Inputs!$B$94</f>
        <v>0</v>
      </c>
      <c r="F169" s="208"/>
      <c r="G169" s="9"/>
      <c r="H169" s="36" t="s">
        <v>338</v>
      </c>
      <c r="I169" s="398"/>
      <c r="J169" s="398"/>
      <c r="K169" s="398"/>
      <c r="L169" s="399"/>
      <c r="M169" s="208"/>
      <c r="O169" s="36" t="s">
        <v>338</v>
      </c>
      <c r="P169" s="139">
        <f>ROUNDUP(((P$139/2000/'Cost Data'!$D$39)/Inputs!$B$91)/'Env Data'!$H$34,0)*'Env Data'!$E$34*(Inputs!$B$15-Inputs!$B$90)*Inputs!$B$91</f>
        <v>0</v>
      </c>
      <c r="Q169" s="139">
        <f>ROUNDUP(((Q$139/2000/'Cost Data'!$D$39)/Inputs!$B$92)/'Env Data'!$H$34,0)*'Env Data'!$E$34*(Inputs!$B$15-Inputs!$B$90)*Inputs!$B$92</f>
        <v>0</v>
      </c>
      <c r="R169" s="139">
        <f>ROUNDUP(((R$139/2000/'Cost Data'!$D$39)/Inputs!$B$93)/'Env Data'!$H$34,0)*'Env Data'!$E$34*(Inputs!$B$15-Inputs!$B$90)*Inputs!$B$93</f>
        <v>0</v>
      </c>
      <c r="S169" s="149">
        <f>ROUNDUP(((S$139/2000/'Cost Data'!$D$39)/Inputs!$B$94)/'Env Data'!$H$34,0)*'Env Data'!$E$34*(Inputs!$B$15-Inputs!$B$90)*Inputs!$B$94</f>
        <v>0</v>
      </c>
    </row>
    <row r="170" spans="1:19" ht="12.75" customHeight="1" hidden="1" thickBot="1">
      <c r="A170" s="113" t="s">
        <v>174</v>
      </c>
      <c r="B170" s="139">
        <f>ROUNDUP(((B$139/2000/'Cost Data'!$D$39)/Inputs!$B$91)/'Env Data'!$H$34,0)*'Env Data'!$F$34*(Inputs!$B$15-Inputs!$B$90)*Inputs!$B$91</f>
        <v>0</v>
      </c>
      <c r="C170" s="139">
        <f>ROUNDUP(((C$139/2000/'Cost Data'!$D$39)/Inputs!$B$92)/'Env Data'!$H$34,0)*'Env Data'!$F$34*(Inputs!$B$15-Inputs!$B$90)*Inputs!$B$92</f>
        <v>0</v>
      </c>
      <c r="D170" s="139">
        <f>ROUNDUP(((D$139/2000/'Cost Data'!$D$39)/Inputs!$B$93)/'Env Data'!$H$34,0)*'Env Data'!$F$34*(Inputs!$B$15-Inputs!$B$90)*Inputs!$B$93</f>
        <v>0</v>
      </c>
      <c r="E170" s="149">
        <f>ROUNDUP(((E$139/2000/'Cost Data'!$D$39)/Inputs!$B$94)/'Env Data'!$H$34,0)*'Env Data'!$F$34*(Inputs!$B$15-Inputs!$B$90)*Inputs!$B$94</f>
        <v>0</v>
      </c>
      <c r="F170" s="208"/>
      <c r="G170" s="9"/>
      <c r="H170" s="113" t="s">
        <v>174</v>
      </c>
      <c r="I170" s="400"/>
      <c r="J170" s="400"/>
      <c r="K170" s="400"/>
      <c r="L170" s="401"/>
      <c r="M170" s="208"/>
      <c r="O170" s="113" t="s">
        <v>174</v>
      </c>
      <c r="P170" s="139">
        <f>ROUNDUP(((P$139/2000/'Cost Data'!$D$39)/Inputs!$B$91)/'Env Data'!$H$34,0)*'Env Data'!$F$34*(Inputs!$B$15-Inputs!$B$90)*Inputs!$B$91</f>
        <v>0</v>
      </c>
      <c r="Q170" s="139">
        <f>ROUNDUP(((Q$139/2000/'Cost Data'!$D$39)/Inputs!$B$92)/'Env Data'!$H$34,0)*'Env Data'!$F$34*(Inputs!$B$15-Inputs!$B$90)*Inputs!$B$92</f>
        <v>0</v>
      </c>
      <c r="R170" s="139">
        <f>ROUNDUP(((R$139/2000/'Cost Data'!$D$39)/Inputs!$B$93)/'Env Data'!$H$34,0)*'Env Data'!$F$34*(Inputs!$B$15-Inputs!$B$90)*Inputs!$B$93</f>
        <v>0</v>
      </c>
      <c r="S170" s="149">
        <f>ROUNDUP(((S$139/2000/'Cost Data'!$D$39)/Inputs!$B$94)/'Env Data'!$H$34,0)*'Env Data'!$F$34*(Inputs!$B$15-Inputs!$B$90)*Inputs!$B$94</f>
        <v>0</v>
      </c>
    </row>
    <row r="171" spans="1:19" s="14" customFormat="1" ht="12.75" customHeight="1" thickBot="1">
      <c r="A171" s="257" t="s">
        <v>259</v>
      </c>
      <c r="B171" s="258"/>
      <c r="C171" s="258"/>
      <c r="D171" s="258"/>
      <c r="E171" s="259"/>
      <c r="F171" s="260"/>
      <c r="G171" s="13"/>
      <c r="H171" s="257" t="s">
        <v>259</v>
      </c>
      <c r="I171" s="258"/>
      <c r="J171" s="258"/>
      <c r="K171" s="258"/>
      <c r="L171" s="259"/>
      <c r="M171" s="260"/>
      <c r="O171" s="257" t="s">
        <v>259</v>
      </c>
      <c r="P171" s="258"/>
      <c r="Q171" s="258"/>
      <c r="R171" s="258"/>
      <c r="S171" s="259"/>
    </row>
    <row r="172" spans="1:19" ht="12.75" customHeight="1">
      <c r="A172" s="114" t="s">
        <v>156</v>
      </c>
      <c r="B172" s="139">
        <f aca="true" t="shared" si="18" ref="B172:E174">B142</f>
        <v>113.21973221259361</v>
      </c>
      <c r="C172" s="139">
        <f t="shared" si="18"/>
        <v>339.65919663778084</v>
      </c>
      <c r="D172" s="139">
        <f t="shared" si="18"/>
        <v>679.3183932755617</v>
      </c>
      <c r="E172" s="149">
        <f t="shared" si="18"/>
        <v>1132.1973221259361</v>
      </c>
      <c r="F172" s="208"/>
      <c r="G172" s="9"/>
      <c r="H172" s="114" t="s">
        <v>156</v>
      </c>
      <c r="I172" s="139">
        <f aca="true" t="shared" si="19" ref="I172:L174">I142</f>
        <v>0</v>
      </c>
      <c r="J172" s="139">
        <f t="shared" si="19"/>
        <v>0</v>
      </c>
      <c r="K172" s="139">
        <f t="shared" si="19"/>
        <v>0</v>
      </c>
      <c r="L172" s="149">
        <f t="shared" si="19"/>
        <v>0</v>
      </c>
      <c r="M172" s="208"/>
      <c r="O172" s="114" t="s">
        <v>156</v>
      </c>
      <c r="P172" s="139">
        <f aca="true" t="shared" si="20" ref="P172:S174">P142</f>
        <v>113.21973221259361</v>
      </c>
      <c r="Q172" s="139">
        <f t="shared" si="20"/>
        <v>339.65919663778084</v>
      </c>
      <c r="R172" s="139">
        <f t="shared" si="20"/>
        <v>679.3183932755617</v>
      </c>
      <c r="S172" s="149">
        <f t="shared" si="20"/>
        <v>1132.1973221259361</v>
      </c>
    </row>
    <row r="173" spans="1:19" ht="12.75" customHeight="1">
      <c r="A173" s="36" t="s">
        <v>178</v>
      </c>
      <c r="B173" s="139">
        <f t="shared" si="18"/>
        <v>65.31797151410686</v>
      </c>
      <c r="C173" s="139">
        <f t="shared" si="18"/>
        <v>195.95391454232058</v>
      </c>
      <c r="D173" s="139">
        <f t="shared" si="18"/>
        <v>391.90782908464115</v>
      </c>
      <c r="E173" s="149">
        <f t="shared" si="18"/>
        <v>653.1797151410685</v>
      </c>
      <c r="F173" s="208"/>
      <c r="G173" s="9"/>
      <c r="H173" s="36" t="s">
        <v>178</v>
      </c>
      <c r="I173" s="139">
        <f t="shared" si="19"/>
        <v>0</v>
      </c>
      <c r="J173" s="139">
        <f t="shared" si="19"/>
        <v>0</v>
      </c>
      <c r="K173" s="139">
        <f t="shared" si="19"/>
        <v>0</v>
      </c>
      <c r="L173" s="149">
        <f t="shared" si="19"/>
        <v>0</v>
      </c>
      <c r="M173" s="208"/>
      <c r="O173" s="36" t="s">
        <v>178</v>
      </c>
      <c r="P173" s="139">
        <f t="shared" si="20"/>
        <v>65.31797151410686</v>
      </c>
      <c r="Q173" s="139">
        <f t="shared" si="20"/>
        <v>195.95391454232058</v>
      </c>
      <c r="R173" s="139">
        <f t="shared" si="20"/>
        <v>391.90782908464115</v>
      </c>
      <c r="S173" s="149">
        <f t="shared" si="20"/>
        <v>653.1797151410685</v>
      </c>
    </row>
    <row r="174" spans="1:19" ht="25.5" customHeight="1">
      <c r="A174" s="152" t="s">
        <v>258</v>
      </c>
      <c r="B174" s="139">
        <f t="shared" si="18"/>
        <v>0</v>
      </c>
      <c r="C174" s="139">
        <f t="shared" si="18"/>
        <v>0</v>
      </c>
      <c r="D174" s="139">
        <f t="shared" si="18"/>
        <v>0</v>
      </c>
      <c r="E174" s="149">
        <f t="shared" si="18"/>
        <v>0</v>
      </c>
      <c r="F174" s="208"/>
      <c r="G174" s="9"/>
      <c r="H174" s="152" t="s">
        <v>258</v>
      </c>
      <c r="I174" s="139">
        <f t="shared" si="19"/>
        <v>0</v>
      </c>
      <c r="J174" s="139">
        <f t="shared" si="19"/>
        <v>0</v>
      </c>
      <c r="K174" s="139">
        <f t="shared" si="19"/>
        <v>0</v>
      </c>
      <c r="L174" s="149">
        <f t="shared" si="19"/>
        <v>0</v>
      </c>
      <c r="M174" s="208"/>
      <c r="O174" s="152" t="s">
        <v>258</v>
      </c>
      <c r="P174" s="139">
        <f t="shared" si="20"/>
        <v>0</v>
      </c>
      <c r="Q174" s="139">
        <f t="shared" si="20"/>
        <v>0</v>
      </c>
      <c r="R174" s="139">
        <f t="shared" si="20"/>
        <v>0</v>
      </c>
      <c r="S174" s="149">
        <f t="shared" si="20"/>
        <v>0</v>
      </c>
    </row>
    <row r="175" spans="1:19" ht="25.5" customHeight="1">
      <c r="A175" s="152" t="s">
        <v>242</v>
      </c>
      <c r="B175" s="139">
        <f aca="true" t="shared" si="21" ref="B175:E176">B145+B151+B158+B165</f>
        <v>22.046</v>
      </c>
      <c r="C175" s="139">
        <f t="shared" si="21"/>
        <v>66.138</v>
      </c>
      <c r="D175" s="139">
        <f t="shared" si="21"/>
        <v>132.276</v>
      </c>
      <c r="E175" s="143">
        <f t="shared" si="21"/>
        <v>220.46</v>
      </c>
      <c r="F175" s="208"/>
      <c r="G175" s="9"/>
      <c r="H175" s="152" t="s">
        <v>242</v>
      </c>
      <c r="I175" s="139">
        <f aca="true" t="shared" si="22" ref="I175:L176">I145+I151+I158+I165</f>
        <v>0</v>
      </c>
      <c r="J175" s="139">
        <f t="shared" si="22"/>
        <v>0</v>
      </c>
      <c r="K175" s="139">
        <f t="shared" si="22"/>
        <v>0</v>
      </c>
      <c r="L175" s="143">
        <f t="shared" si="22"/>
        <v>0</v>
      </c>
      <c r="M175" s="208"/>
      <c r="O175" s="152" t="s">
        <v>242</v>
      </c>
      <c r="P175" s="139">
        <f aca="true" t="shared" si="23" ref="P175:S176">P145+P151+P158+P165</f>
        <v>22.046</v>
      </c>
      <c r="Q175" s="139">
        <f t="shared" si="23"/>
        <v>66.138</v>
      </c>
      <c r="R175" s="139">
        <f t="shared" si="23"/>
        <v>132.276</v>
      </c>
      <c r="S175" s="143">
        <f t="shared" si="23"/>
        <v>220.46</v>
      </c>
    </row>
    <row r="176" spans="1:19" ht="12.75" customHeight="1">
      <c r="A176" s="36" t="s">
        <v>179</v>
      </c>
      <c r="B176" s="139">
        <f t="shared" si="21"/>
        <v>10.541594847137803</v>
      </c>
      <c r="C176" s="139">
        <f t="shared" si="21"/>
        <v>31.62478454141341</v>
      </c>
      <c r="D176" s="139">
        <f t="shared" si="21"/>
        <v>63.24956908282682</v>
      </c>
      <c r="E176" s="149">
        <f t="shared" si="21"/>
        <v>105.41594847137804</v>
      </c>
      <c r="F176" s="208"/>
      <c r="G176" s="9"/>
      <c r="H176" s="36" t="s">
        <v>179</v>
      </c>
      <c r="I176" s="139">
        <f t="shared" si="22"/>
        <v>0</v>
      </c>
      <c r="J176" s="139">
        <f t="shared" si="22"/>
        <v>0</v>
      </c>
      <c r="K176" s="139">
        <f t="shared" si="22"/>
        <v>0</v>
      </c>
      <c r="L176" s="149">
        <f t="shared" si="22"/>
        <v>0</v>
      </c>
      <c r="M176" s="208"/>
      <c r="O176" s="36" t="s">
        <v>179</v>
      </c>
      <c r="P176" s="139">
        <f t="shared" si="23"/>
        <v>10.541594847137803</v>
      </c>
      <c r="Q176" s="139">
        <f t="shared" si="23"/>
        <v>31.62478454141341</v>
      </c>
      <c r="R176" s="139">
        <f t="shared" si="23"/>
        <v>63.24956908282682</v>
      </c>
      <c r="S176" s="149">
        <f t="shared" si="23"/>
        <v>105.41594847137804</v>
      </c>
    </row>
    <row r="177" spans="1:19" ht="12.75" customHeight="1">
      <c r="A177" s="36" t="s">
        <v>212</v>
      </c>
      <c r="B177" s="139">
        <f>B160+B160+B167</f>
        <v>0</v>
      </c>
      <c r="C177" s="139">
        <f>C160+C160+C167</f>
        <v>0</v>
      </c>
      <c r="D177" s="139">
        <f>D160+D160+D167</f>
        <v>0</v>
      </c>
      <c r="E177" s="149">
        <f>E160+E160+E167</f>
        <v>0</v>
      </c>
      <c r="F177" s="208"/>
      <c r="G177" s="9"/>
      <c r="H177" s="36" t="s">
        <v>212</v>
      </c>
      <c r="I177" s="139">
        <f>I160+I160+I167</f>
        <v>0</v>
      </c>
      <c r="J177" s="139">
        <f>J160+J160+J167</f>
        <v>0</v>
      </c>
      <c r="K177" s="139">
        <f>K160+K160+K167</f>
        <v>0</v>
      </c>
      <c r="L177" s="149">
        <f>L160+L160+L167</f>
        <v>0</v>
      </c>
      <c r="M177" s="208"/>
      <c r="O177" s="36" t="s">
        <v>212</v>
      </c>
      <c r="P177" s="139">
        <f>P160+P160+P167</f>
        <v>0</v>
      </c>
      <c r="Q177" s="139">
        <f>Q160+Q160+Q167</f>
        <v>0</v>
      </c>
      <c r="R177" s="139">
        <f>R160+R160+R167</f>
        <v>0</v>
      </c>
      <c r="S177" s="149">
        <f>S160+S160+S167</f>
        <v>0</v>
      </c>
    </row>
    <row r="178" spans="1:19" ht="12.75" customHeight="1">
      <c r="A178" s="36" t="s">
        <v>340</v>
      </c>
      <c r="B178" s="139">
        <f aca="true" t="shared" si="24" ref="B178:E180">B147+B154+B161+B168</f>
        <v>25.038555747074298</v>
      </c>
      <c r="C178" s="139">
        <f t="shared" si="24"/>
        <v>75.1156672412229</v>
      </c>
      <c r="D178" s="139">
        <f t="shared" si="24"/>
        <v>150.2313344824458</v>
      </c>
      <c r="E178" s="149">
        <f t="shared" si="24"/>
        <v>250.38555747074298</v>
      </c>
      <c r="F178" s="208"/>
      <c r="G178" s="9"/>
      <c r="H178" s="36" t="s">
        <v>340</v>
      </c>
      <c r="I178" s="139">
        <f aca="true" t="shared" si="25" ref="I178:L180">I147+I154+I161+I168</f>
        <v>0</v>
      </c>
      <c r="J178" s="139">
        <f t="shared" si="25"/>
        <v>0</v>
      </c>
      <c r="K178" s="139">
        <f t="shared" si="25"/>
        <v>0</v>
      </c>
      <c r="L178" s="149">
        <f t="shared" si="25"/>
        <v>0</v>
      </c>
      <c r="M178" s="208"/>
      <c r="O178" s="36" t="s">
        <v>340</v>
      </c>
      <c r="P178" s="139">
        <f aca="true" t="shared" si="26" ref="P178:S180">P147+P154+P161+P168</f>
        <v>25.038555747074298</v>
      </c>
      <c r="Q178" s="139">
        <f t="shared" si="26"/>
        <v>75.1156672412229</v>
      </c>
      <c r="R178" s="139">
        <f t="shared" si="26"/>
        <v>150.2313344824458</v>
      </c>
      <c r="S178" s="149">
        <f t="shared" si="26"/>
        <v>250.38555747074298</v>
      </c>
    </row>
    <row r="179" spans="1:19" ht="12.75" customHeight="1">
      <c r="A179" s="36" t="s">
        <v>338</v>
      </c>
      <c r="B179" s="139">
        <f t="shared" si="24"/>
        <v>22.135534790891768</v>
      </c>
      <c r="C179" s="139">
        <f t="shared" si="24"/>
        <v>66.4066043726753</v>
      </c>
      <c r="D179" s="139">
        <f t="shared" si="24"/>
        <v>132.8132087453506</v>
      </c>
      <c r="E179" s="149">
        <f t="shared" si="24"/>
        <v>221.35534790891768</v>
      </c>
      <c r="F179" s="208"/>
      <c r="G179" s="9"/>
      <c r="H179" s="36" t="s">
        <v>338</v>
      </c>
      <c r="I179" s="139">
        <f t="shared" si="25"/>
        <v>0</v>
      </c>
      <c r="J179" s="139">
        <f t="shared" si="25"/>
        <v>0</v>
      </c>
      <c r="K179" s="139">
        <f t="shared" si="25"/>
        <v>0</v>
      </c>
      <c r="L179" s="149">
        <f t="shared" si="25"/>
        <v>0</v>
      </c>
      <c r="M179" s="208"/>
      <c r="O179" s="36" t="s">
        <v>338</v>
      </c>
      <c r="P179" s="139">
        <f t="shared" si="26"/>
        <v>22.135534790891768</v>
      </c>
      <c r="Q179" s="139">
        <f t="shared" si="26"/>
        <v>66.4066043726753</v>
      </c>
      <c r="R179" s="139">
        <f t="shared" si="26"/>
        <v>132.8132087453506</v>
      </c>
      <c r="S179" s="149">
        <f t="shared" si="26"/>
        <v>221.35534790891768</v>
      </c>
    </row>
    <row r="180" spans="1:19" ht="12.75" customHeight="1">
      <c r="A180" s="36" t="s">
        <v>174</v>
      </c>
      <c r="B180" s="139">
        <f t="shared" si="24"/>
        <v>1.7599564546856572</v>
      </c>
      <c r="C180" s="139">
        <f t="shared" si="24"/>
        <v>5.279869364056972</v>
      </c>
      <c r="D180" s="139">
        <f t="shared" si="24"/>
        <v>10.559738728113944</v>
      </c>
      <c r="E180" s="149">
        <f t="shared" si="24"/>
        <v>17.59956454685657</v>
      </c>
      <c r="F180" s="208"/>
      <c r="G180" s="9"/>
      <c r="H180" s="36" t="s">
        <v>174</v>
      </c>
      <c r="I180" s="139">
        <f t="shared" si="25"/>
        <v>0</v>
      </c>
      <c r="J180" s="139">
        <f t="shared" si="25"/>
        <v>0</v>
      </c>
      <c r="K180" s="139">
        <f t="shared" si="25"/>
        <v>0</v>
      </c>
      <c r="L180" s="149">
        <f t="shared" si="25"/>
        <v>0</v>
      </c>
      <c r="M180" s="208"/>
      <c r="O180" s="36" t="s">
        <v>174</v>
      </c>
      <c r="P180" s="139">
        <f t="shared" si="26"/>
        <v>1.7599564546856572</v>
      </c>
      <c r="Q180" s="139">
        <f t="shared" si="26"/>
        <v>5.279869364056972</v>
      </c>
      <c r="R180" s="139">
        <f t="shared" si="26"/>
        <v>10.559738728113944</v>
      </c>
      <c r="S180" s="149">
        <f t="shared" si="26"/>
        <v>17.59956454685657</v>
      </c>
    </row>
    <row r="181" spans="1:19" ht="12.75" customHeight="1">
      <c r="A181" s="221"/>
      <c r="B181" s="208"/>
      <c r="C181" s="208"/>
      <c r="D181" s="208"/>
      <c r="E181" s="208"/>
      <c r="F181" s="208"/>
      <c r="G181" s="58"/>
      <c r="H181" s="222"/>
      <c r="I181" s="208"/>
      <c r="J181" s="208"/>
      <c r="K181" s="208"/>
      <c r="L181" s="208"/>
      <c r="M181" s="208"/>
      <c r="N181" s="57"/>
      <c r="O181" s="222"/>
      <c r="P181" s="208"/>
      <c r="Q181" s="208"/>
      <c r="R181" s="208"/>
      <c r="S181" s="208"/>
    </row>
    <row r="182" spans="1:19" ht="12.75">
      <c r="A182" s="207" t="s">
        <v>271</v>
      </c>
      <c r="B182" s="177" t="s">
        <v>21</v>
      </c>
      <c r="C182" s="177" t="s">
        <v>18</v>
      </c>
      <c r="D182" s="177" t="s">
        <v>19</v>
      </c>
      <c r="E182" s="178" t="s">
        <v>20</v>
      </c>
      <c r="F182" s="238"/>
      <c r="H182" s="207" t="s">
        <v>271</v>
      </c>
      <c r="I182" s="180" t="s">
        <v>21</v>
      </c>
      <c r="J182" s="180" t="s">
        <v>18</v>
      </c>
      <c r="K182" s="180" t="s">
        <v>19</v>
      </c>
      <c r="L182" s="181" t="s">
        <v>20</v>
      </c>
      <c r="M182" s="238"/>
      <c r="O182" s="207" t="s">
        <v>271</v>
      </c>
      <c r="P182" s="180" t="s">
        <v>21</v>
      </c>
      <c r="Q182" s="180" t="s">
        <v>18</v>
      </c>
      <c r="R182" s="180" t="s">
        <v>19</v>
      </c>
      <c r="S182" s="181" t="s">
        <v>20</v>
      </c>
    </row>
    <row r="183" spans="1:20" ht="12.75">
      <c r="A183" s="36" t="s">
        <v>260</v>
      </c>
      <c r="B183" s="225">
        <f aca="true" t="shared" si="27" ref="B183:E185">SUM(B6,B10,B51,B94,B138)</f>
        <v>18416.666666666668</v>
      </c>
      <c r="C183" s="225">
        <f t="shared" si="27"/>
        <v>55250</v>
      </c>
      <c r="D183" s="225">
        <f t="shared" si="27"/>
        <v>110500</v>
      </c>
      <c r="E183" s="226">
        <f t="shared" si="27"/>
        <v>184166.6666666667</v>
      </c>
      <c r="F183" s="237"/>
      <c r="H183" s="36" t="s">
        <v>260</v>
      </c>
      <c r="I183" s="225">
        <f aca="true" t="shared" si="28" ref="I183:L185">SUM(I6,I10,I51,I94,I138)</f>
        <v>18416.666666666668</v>
      </c>
      <c r="J183" s="225">
        <f t="shared" si="28"/>
        <v>55250</v>
      </c>
      <c r="K183" s="225">
        <f t="shared" si="28"/>
        <v>110500</v>
      </c>
      <c r="L183" s="226">
        <f t="shared" si="28"/>
        <v>184166.6666666667</v>
      </c>
      <c r="M183" s="237"/>
      <c r="O183" s="36" t="s">
        <v>260</v>
      </c>
      <c r="P183" s="225">
        <f aca="true" t="shared" si="29" ref="P183:S185">SUM(P6,P10,P51,P94,P138)</f>
        <v>0</v>
      </c>
      <c r="Q183" s="225">
        <f t="shared" si="29"/>
        <v>0</v>
      </c>
      <c r="R183" s="225">
        <f t="shared" si="29"/>
        <v>0</v>
      </c>
      <c r="S183" s="226">
        <f t="shared" si="29"/>
        <v>0</v>
      </c>
      <c r="T183" s="236">
        <f>S183/10</f>
        <v>0</v>
      </c>
    </row>
    <row r="184" spans="1:20" ht="12.75">
      <c r="A184" s="36" t="s">
        <v>261</v>
      </c>
      <c r="B184" s="225">
        <f t="shared" si="27"/>
        <v>17083.333333333336</v>
      </c>
      <c r="C184" s="225">
        <f t="shared" si="27"/>
        <v>51250</v>
      </c>
      <c r="D184" s="225">
        <f t="shared" si="27"/>
        <v>102500</v>
      </c>
      <c r="E184" s="226">
        <f t="shared" si="27"/>
        <v>170833.3333333333</v>
      </c>
      <c r="F184" s="237"/>
      <c r="H184" s="36" t="s">
        <v>261</v>
      </c>
      <c r="I184" s="225">
        <f t="shared" si="28"/>
        <v>0</v>
      </c>
      <c r="J184" s="225">
        <f t="shared" si="28"/>
        <v>0</v>
      </c>
      <c r="K184" s="225">
        <f t="shared" si="28"/>
        <v>0</v>
      </c>
      <c r="L184" s="226">
        <f t="shared" si="28"/>
        <v>0</v>
      </c>
      <c r="M184" s="237"/>
      <c r="O184" s="36" t="s">
        <v>261</v>
      </c>
      <c r="P184" s="225">
        <f t="shared" si="29"/>
        <v>35500</v>
      </c>
      <c r="Q184" s="225">
        <f t="shared" si="29"/>
        <v>106500</v>
      </c>
      <c r="R184" s="225">
        <f t="shared" si="29"/>
        <v>213000</v>
      </c>
      <c r="S184" s="226">
        <f t="shared" si="29"/>
        <v>355000</v>
      </c>
      <c r="T184" s="236">
        <f aca="true" t="shared" si="30" ref="T184:T196">S184/10</f>
        <v>35500</v>
      </c>
    </row>
    <row r="185" spans="1:20" ht="12.75">
      <c r="A185" s="166" t="s">
        <v>262</v>
      </c>
      <c r="B185" s="227">
        <f t="shared" si="27"/>
        <v>0</v>
      </c>
      <c r="C185" s="227">
        <f t="shared" si="27"/>
        <v>0</v>
      </c>
      <c r="D185" s="227">
        <f t="shared" si="27"/>
        <v>0</v>
      </c>
      <c r="E185" s="228">
        <f t="shared" si="27"/>
        <v>0</v>
      </c>
      <c r="F185" s="237"/>
      <c r="H185" s="166" t="s">
        <v>262</v>
      </c>
      <c r="I185" s="227">
        <f t="shared" si="28"/>
        <v>17083.333333333336</v>
      </c>
      <c r="J185" s="227">
        <f t="shared" si="28"/>
        <v>51250</v>
      </c>
      <c r="K185" s="227">
        <f t="shared" si="28"/>
        <v>102500</v>
      </c>
      <c r="L185" s="228">
        <f t="shared" si="28"/>
        <v>170833.3333333333</v>
      </c>
      <c r="M185" s="237"/>
      <c r="O185" s="166" t="s">
        <v>262</v>
      </c>
      <c r="P185" s="227">
        <f t="shared" si="29"/>
        <v>0</v>
      </c>
      <c r="Q185" s="227">
        <f t="shared" si="29"/>
        <v>0</v>
      </c>
      <c r="R185" s="227">
        <f t="shared" si="29"/>
        <v>0</v>
      </c>
      <c r="S185" s="228">
        <f t="shared" si="29"/>
        <v>0</v>
      </c>
      <c r="T185" s="236">
        <f t="shared" si="30"/>
        <v>0</v>
      </c>
    </row>
    <row r="186" spans="1:20" ht="13.5" thickBot="1">
      <c r="A186" s="233" t="s">
        <v>282</v>
      </c>
      <c r="B186" s="234">
        <f>SUM(B183:B184)</f>
        <v>35500</v>
      </c>
      <c r="C186" s="234">
        <f>SUM(C183:C184)</f>
        <v>106500</v>
      </c>
      <c r="D186" s="234">
        <f>SUM(D183:D184)</f>
        <v>213000</v>
      </c>
      <c r="E186" s="235">
        <f>SUM(E183:E184)</f>
        <v>355000</v>
      </c>
      <c r="F186" s="237"/>
      <c r="H186" s="233" t="s">
        <v>282</v>
      </c>
      <c r="I186" s="234">
        <f>SUM(I183:I184)</f>
        <v>18416.666666666668</v>
      </c>
      <c r="J186" s="234">
        <f>SUM(J183:J184)</f>
        <v>55250</v>
      </c>
      <c r="K186" s="234">
        <f>SUM(K183:K184)</f>
        <v>110500</v>
      </c>
      <c r="L186" s="235">
        <f>SUM(L183:L184)</f>
        <v>184166.6666666667</v>
      </c>
      <c r="M186" s="237"/>
      <c r="O186" s="233" t="s">
        <v>282</v>
      </c>
      <c r="P186" s="234">
        <f>SUM(P183:P184)</f>
        <v>35500</v>
      </c>
      <c r="Q186" s="234">
        <f>SUM(Q183:Q184)</f>
        <v>106500</v>
      </c>
      <c r="R186" s="234">
        <f>SUM(R183:R184)</f>
        <v>213000</v>
      </c>
      <c r="S186" s="235">
        <f>SUM(S183:S184)</f>
        <v>355000</v>
      </c>
      <c r="T186" s="236">
        <f t="shared" si="30"/>
        <v>35500</v>
      </c>
    </row>
    <row r="187" spans="1:20" ht="13.5" thickBot="1">
      <c r="A187" s="214" t="s">
        <v>263</v>
      </c>
      <c r="B187" s="215">
        <f>SUM(B43,B86,B129,B173)</f>
        <v>8454.750943028213</v>
      </c>
      <c r="C187" s="215">
        <f>SUM(C43,C86,C129,C173)</f>
        <v>25364.252829084646</v>
      </c>
      <c r="D187" s="215">
        <f>SUM(D43,D86,D129,D173)</f>
        <v>50728.50565816929</v>
      </c>
      <c r="E187" s="230">
        <f>SUM(E43,E86,E129,E173)</f>
        <v>84547.50943028214</v>
      </c>
      <c r="F187" s="237"/>
      <c r="H187" s="214" t="s">
        <v>263</v>
      </c>
      <c r="I187" s="215">
        <f>SUM(I43,I86,I129,I173)</f>
        <v>4168.5</v>
      </c>
      <c r="J187" s="215">
        <f>SUM(J43,J86,J129,J173)</f>
        <v>12505.5</v>
      </c>
      <c r="K187" s="215">
        <f>SUM(K43,K86,K129,K173)</f>
        <v>25011</v>
      </c>
      <c r="L187" s="230">
        <f>SUM(L43,L86,L129,L173)</f>
        <v>41685</v>
      </c>
      <c r="M187" s="237"/>
      <c r="O187" s="214" t="s">
        <v>263</v>
      </c>
      <c r="P187" s="215">
        <f>SUM(P43,P86,P129,P173)</f>
        <v>8441.865943028213</v>
      </c>
      <c r="Q187" s="215">
        <f>SUM(Q43,Q86,Q129,Q173)</f>
        <v>25325.597829084643</v>
      </c>
      <c r="R187" s="215">
        <f>SUM(R43,R86,R129,R173)</f>
        <v>50651.19565816929</v>
      </c>
      <c r="S187" s="230">
        <f>SUM(S43,S86,S129,S173)</f>
        <v>84418.65943028215</v>
      </c>
      <c r="T187" s="236">
        <f t="shared" si="30"/>
        <v>8441.865943028215</v>
      </c>
    </row>
    <row r="188" spans="1:20" ht="13.5" thickBot="1">
      <c r="A188" s="216" t="s">
        <v>264</v>
      </c>
      <c r="B188" s="217"/>
      <c r="C188" s="217"/>
      <c r="D188" s="217"/>
      <c r="E188" s="218"/>
      <c r="F188" s="57"/>
      <c r="H188" s="216" t="s">
        <v>264</v>
      </c>
      <c r="I188" s="217"/>
      <c r="J188" s="217"/>
      <c r="K188" s="217"/>
      <c r="L188" s="218"/>
      <c r="M188" s="57"/>
      <c r="O188" s="216" t="s">
        <v>264</v>
      </c>
      <c r="P188" s="217"/>
      <c r="Q188" s="217"/>
      <c r="R188" s="217"/>
      <c r="S188" s="218"/>
      <c r="T188" s="236">
        <f t="shared" si="30"/>
        <v>0</v>
      </c>
    </row>
    <row r="189" spans="1:20" ht="25.5">
      <c r="A189" s="152" t="s">
        <v>242</v>
      </c>
      <c r="B189" s="220">
        <f aca="true" t="shared" si="31" ref="B189:E194">SUM(B44,B87,B131,B175)</f>
        <v>9738.13754698691</v>
      </c>
      <c r="C189" s="220">
        <f t="shared" si="31"/>
        <v>29214.412640960727</v>
      </c>
      <c r="D189" s="220">
        <f t="shared" si="31"/>
        <v>58428.825281921454</v>
      </c>
      <c r="E189" s="223">
        <f t="shared" si="31"/>
        <v>97381.3754698691</v>
      </c>
      <c r="F189" s="237"/>
      <c r="H189" s="152" t="s">
        <v>242</v>
      </c>
      <c r="I189" s="220">
        <f aca="true" t="shared" si="32" ref="I189:L194">SUM(I44,I87,I131,I175)</f>
        <v>5142.556905146001</v>
      </c>
      <c r="J189" s="220">
        <f t="shared" si="32"/>
        <v>15427.670715438002</v>
      </c>
      <c r="K189" s="220">
        <f t="shared" si="32"/>
        <v>30855.341430876004</v>
      </c>
      <c r="L189" s="223">
        <f t="shared" si="32"/>
        <v>51425.56905146001</v>
      </c>
      <c r="M189" s="237"/>
      <c r="O189" s="152" t="s">
        <v>242</v>
      </c>
      <c r="P189" s="220">
        <f aca="true" t="shared" si="33" ref="P189:S194">SUM(P44,P87,P131,P175)</f>
        <v>9147.06928368182</v>
      </c>
      <c r="Q189" s="220">
        <f t="shared" si="33"/>
        <v>27441.207851045452</v>
      </c>
      <c r="R189" s="220">
        <f t="shared" si="33"/>
        <v>54882.415702090904</v>
      </c>
      <c r="S189" s="223">
        <f t="shared" si="33"/>
        <v>91470.6928368182</v>
      </c>
      <c r="T189" s="236">
        <f t="shared" si="30"/>
        <v>9147.06928368182</v>
      </c>
    </row>
    <row r="190" spans="1:20" ht="12.75">
      <c r="A190" s="36" t="s">
        <v>179</v>
      </c>
      <c r="B190" s="220">
        <f t="shared" si="31"/>
        <v>2314.28403349814</v>
      </c>
      <c r="C190" s="220">
        <f t="shared" si="31"/>
        <v>6942.852100494421</v>
      </c>
      <c r="D190" s="220">
        <f t="shared" si="31"/>
        <v>13885.704200988843</v>
      </c>
      <c r="E190" s="223">
        <f t="shared" si="31"/>
        <v>23142.840334981403</v>
      </c>
      <c r="F190" s="237"/>
      <c r="H190" s="36" t="s">
        <v>179</v>
      </c>
      <c r="I190" s="220">
        <f t="shared" si="32"/>
        <v>2241.785</v>
      </c>
      <c r="J190" s="220">
        <f t="shared" si="32"/>
        <v>6725.3550000000005</v>
      </c>
      <c r="K190" s="220">
        <f t="shared" si="32"/>
        <v>13450.710000000001</v>
      </c>
      <c r="L190" s="223">
        <f t="shared" si="32"/>
        <v>22417.850000000002</v>
      </c>
      <c r="M190" s="237"/>
      <c r="O190" s="36" t="s">
        <v>179</v>
      </c>
      <c r="P190" s="220">
        <f t="shared" si="33"/>
        <v>123.9148773020049</v>
      </c>
      <c r="Q190" s="220">
        <f t="shared" si="33"/>
        <v>371.74463190601466</v>
      </c>
      <c r="R190" s="220">
        <f t="shared" si="33"/>
        <v>743.4892638120293</v>
      </c>
      <c r="S190" s="223">
        <f t="shared" si="33"/>
        <v>1239.148773020049</v>
      </c>
      <c r="T190" s="236">
        <f t="shared" si="30"/>
        <v>123.9148773020049</v>
      </c>
    </row>
    <row r="191" spans="1:20" ht="12.75">
      <c r="A191" s="36" t="s">
        <v>212</v>
      </c>
      <c r="B191" s="220">
        <f t="shared" si="31"/>
        <v>435.1615328177447</v>
      </c>
      <c r="C191" s="220">
        <f t="shared" si="31"/>
        <v>1305.484598453234</v>
      </c>
      <c r="D191" s="220">
        <f t="shared" si="31"/>
        <v>2610.969196906468</v>
      </c>
      <c r="E191" s="223">
        <f t="shared" si="31"/>
        <v>4351.615328177448</v>
      </c>
      <c r="F191" s="237"/>
      <c r="H191" s="36" t="s">
        <v>212</v>
      </c>
      <c r="I191" s="220">
        <f t="shared" si="32"/>
        <v>408.65000000000003</v>
      </c>
      <c r="J191" s="220">
        <f t="shared" si="32"/>
        <v>1225.9499999999998</v>
      </c>
      <c r="K191" s="220">
        <f t="shared" si="32"/>
        <v>2451.8999999999996</v>
      </c>
      <c r="L191" s="223">
        <f t="shared" si="32"/>
        <v>4086.5</v>
      </c>
      <c r="M191" s="237"/>
      <c r="O191" s="36" t="s">
        <v>212</v>
      </c>
      <c r="P191" s="220">
        <f t="shared" si="33"/>
        <v>53.02306563548943</v>
      </c>
      <c r="Q191" s="220">
        <f t="shared" si="33"/>
        <v>159.06919690646825</v>
      </c>
      <c r="R191" s="220">
        <f t="shared" si="33"/>
        <v>318.1383938129365</v>
      </c>
      <c r="S191" s="223">
        <f t="shared" si="33"/>
        <v>530.2306563548943</v>
      </c>
      <c r="T191" s="236">
        <f t="shared" si="30"/>
        <v>53.02306563548943</v>
      </c>
    </row>
    <row r="192" spans="1:20" ht="15.75">
      <c r="A192" s="36" t="s">
        <v>340</v>
      </c>
      <c r="B192" s="220">
        <f t="shared" si="31"/>
        <v>5037.424108681847</v>
      </c>
      <c r="C192" s="220">
        <f t="shared" si="31"/>
        <v>15112.272326045542</v>
      </c>
      <c r="D192" s="220">
        <f t="shared" si="31"/>
        <v>30224.544652091085</v>
      </c>
      <c r="E192" s="223">
        <f t="shared" si="31"/>
        <v>50374.24108681847</v>
      </c>
      <c r="F192" s="237"/>
      <c r="H192" s="36" t="s">
        <v>340</v>
      </c>
      <c r="I192" s="220">
        <f t="shared" si="32"/>
        <v>4611.5</v>
      </c>
      <c r="J192" s="220">
        <f t="shared" si="32"/>
        <v>13834.5</v>
      </c>
      <c r="K192" s="220">
        <f t="shared" si="32"/>
        <v>27669</v>
      </c>
      <c r="L192" s="223">
        <f t="shared" si="32"/>
        <v>46115</v>
      </c>
      <c r="M192" s="237"/>
      <c r="O192" s="36" t="s">
        <v>340</v>
      </c>
      <c r="P192" s="220">
        <f t="shared" si="33"/>
        <v>801.7711058695454</v>
      </c>
      <c r="Q192" s="220">
        <f t="shared" si="33"/>
        <v>2405.313317608636</v>
      </c>
      <c r="R192" s="220">
        <f t="shared" si="33"/>
        <v>4810.626635217272</v>
      </c>
      <c r="S192" s="223">
        <f t="shared" si="33"/>
        <v>8017.711058695455</v>
      </c>
      <c r="T192" s="236">
        <f t="shared" si="30"/>
        <v>801.7711058695455</v>
      </c>
    </row>
    <row r="193" spans="1:20" ht="15.75">
      <c r="A193" s="36" t="s">
        <v>338</v>
      </c>
      <c r="B193" s="220">
        <f t="shared" si="31"/>
        <v>5187.920424793614</v>
      </c>
      <c r="C193" s="220">
        <f t="shared" si="31"/>
        <v>15563.761274380839</v>
      </c>
      <c r="D193" s="220">
        <f t="shared" si="31"/>
        <v>31127.522548761677</v>
      </c>
      <c r="E193" s="223">
        <f t="shared" si="31"/>
        <v>51879.20424793613</v>
      </c>
      <c r="F193" s="237"/>
      <c r="H193" s="36" t="s">
        <v>338</v>
      </c>
      <c r="I193" s="220">
        <f t="shared" si="32"/>
        <v>2895.4750000000004</v>
      </c>
      <c r="J193" s="220">
        <f t="shared" si="32"/>
        <v>8686.425</v>
      </c>
      <c r="K193" s="220">
        <f t="shared" si="32"/>
        <v>17372.85</v>
      </c>
      <c r="L193" s="223">
        <f t="shared" si="32"/>
        <v>28954.75</v>
      </c>
      <c r="M193" s="237"/>
      <c r="O193" s="36" t="s">
        <v>338</v>
      </c>
      <c r="P193" s="220">
        <f t="shared" si="33"/>
        <v>4540.619780005443</v>
      </c>
      <c r="Q193" s="220">
        <f t="shared" si="33"/>
        <v>13621.85934001633</v>
      </c>
      <c r="R193" s="220">
        <f t="shared" si="33"/>
        <v>27243.71868003266</v>
      </c>
      <c r="S193" s="223">
        <f t="shared" si="33"/>
        <v>45406.19780005443</v>
      </c>
      <c r="T193" s="236">
        <f t="shared" si="30"/>
        <v>4540.619780005443</v>
      </c>
    </row>
    <row r="194" spans="1:20" ht="13.5" thickBot="1">
      <c r="A194" s="166" t="s">
        <v>174</v>
      </c>
      <c r="B194" s="211">
        <f t="shared" si="31"/>
        <v>3323.0439072847685</v>
      </c>
      <c r="C194" s="211">
        <f t="shared" si="31"/>
        <v>9969.1317218543</v>
      </c>
      <c r="D194" s="211">
        <f t="shared" si="31"/>
        <v>19938.2634437086</v>
      </c>
      <c r="E194" s="212">
        <f t="shared" si="31"/>
        <v>33230.43907284768</v>
      </c>
      <c r="F194" s="237"/>
      <c r="H194" s="166" t="s">
        <v>174</v>
      </c>
      <c r="I194" s="211">
        <f t="shared" si="32"/>
        <v>1726.3300000000002</v>
      </c>
      <c r="J194" s="211">
        <f t="shared" si="32"/>
        <v>5178.99</v>
      </c>
      <c r="K194" s="211">
        <f t="shared" si="32"/>
        <v>10357.98</v>
      </c>
      <c r="L194" s="212">
        <f t="shared" si="32"/>
        <v>17263.3</v>
      </c>
      <c r="M194" s="237"/>
      <c r="O194" s="166" t="s">
        <v>174</v>
      </c>
      <c r="P194" s="211">
        <f t="shared" si="33"/>
        <v>3189.9079016601654</v>
      </c>
      <c r="Q194" s="211">
        <f t="shared" si="33"/>
        <v>9569.723704980492</v>
      </c>
      <c r="R194" s="211">
        <f t="shared" si="33"/>
        <v>19139.447409960983</v>
      </c>
      <c r="S194" s="212">
        <f t="shared" si="33"/>
        <v>31899.079016601652</v>
      </c>
      <c r="T194" s="236">
        <f t="shared" si="30"/>
        <v>3189.9079016601654</v>
      </c>
    </row>
    <row r="195" spans="1:20" ht="25.5">
      <c r="A195" s="219" t="s">
        <v>258</v>
      </c>
      <c r="B195" s="213">
        <f>SUM(B130,B174)</f>
        <v>0</v>
      </c>
      <c r="C195" s="213">
        <f>SUM(C130,C174)</f>
        <v>0</v>
      </c>
      <c r="D195" s="213">
        <f>SUM(D130,D174)</f>
        <v>0</v>
      </c>
      <c r="E195" s="224">
        <f>SUM(E130,E174)</f>
        <v>0</v>
      </c>
      <c r="F195" s="237"/>
      <c r="H195" s="219" t="s">
        <v>258</v>
      </c>
      <c r="I195" s="213">
        <f>SUM(I130,I174)</f>
        <v>0</v>
      </c>
      <c r="J195" s="213">
        <f>SUM(J130,J174)</f>
        <v>0</v>
      </c>
      <c r="K195" s="213">
        <f>SUM(K130,K174)</f>
        <v>0</v>
      </c>
      <c r="L195" s="224">
        <f>SUM(L130,L174)</f>
        <v>0</v>
      </c>
      <c r="M195" s="237"/>
      <c r="O195" s="219" t="s">
        <v>258</v>
      </c>
      <c r="P195" s="213">
        <f>SUM(P130,P174)</f>
        <v>0</v>
      </c>
      <c r="Q195" s="213">
        <f>SUM(Q130,Q174)</f>
        <v>0</v>
      </c>
      <c r="R195" s="213">
        <f>SUM(R130,R174)</f>
        <v>0</v>
      </c>
      <c r="S195" s="224">
        <f>SUM(S130,S174)</f>
        <v>0</v>
      </c>
      <c r="T195" s="236">
        <f t="shared" si="30"/>
        <v>0</v>
      </c>
    </row>
    <row r="196" spans="1:20" ht="12.75">
      <c r="A196" s="83" t="s">
        <v>156</v>
      </c>
      <c r="B196" s="209">
        <f>SUM(B85,B128,B172)</f>
        <v>320.9394644251872</v>
      </c>
      <c r="C196" s="209">
        <f>SUM(C85,C128,C172)</f>
        <v>962.8183932755616</v>
      </c>
      <c r="D196" s="209">
        <f>SUM(D85,D128,D172)</f>
        <v>1925.6367865511231</v>
      </c>
      <c r="E196" s="210">
        <f>SUM(E85,E128,E172)</f>
        <v>3209.394644251872</v>
      </c>
      <c r="F196" s="237"/>
      <c r="H196" s="83" t="s">
        <v>156</v>
      </c>
      <c r="I196" s="209">
        <f>SUM(I85,I128,I172)</f>
        <v>47.25000000000001</v>
      </c>
      <c r="J196" s="209">
        <f>SUM(J85,J128,J172)</f>
        <v>141.74999999999997</v>
      </c>
      <c r="K196" s="209">
        <f>SUM(K85,K128,K172)</f>
        <v>283.49999999999994</v>
      </c>
      <c r="L196" s="210">
        <f>SUM(L85,L128,L172)</f>
        <v>472.5</v>
      </c>
      <c r="M196" s="237"/>
      <c r="O196" s="83" t="s">
        <v>156</v>
      </c>
      <c r="P196" s="209">
        <f>SUM(P85,P128,P172)</f>
        <v>320.9394644251872</v>
      </c>
      <c r="Q196" s="209">
        <f>SUM(Q85,Q128,Q172)</f>
        <v>962.8183932755616</v>
      </c>
      <c r="R196" s="209">
        <f>SUM(R85,R128,R172)</f>
        <v>1925.6367865511231</v>
      </c>
      <c r="S196" s="210">
        <f>SUM(S85,S128,S172)</f>
        <v>3209.394644251872</v>
      </c>
      <c r="T196" s="236">
        <f t="shared" si="30"/>
        <v>320.93946442518717</v>
      </c>
    </row>
    <row r="197" ht="12.75"/>
    <row r="198" spans="7:14" ht="12.75">
      <c r="G198" s="236">
        <f aca="true" t="shared" si="34" ref="G198:G211">E183/10</f>
        <v>18416.666666666668</v>
      </c>
      <c r="N198" s="236">
        <f aca="true" t="shared" si="35" ref="N198:N211">L183/10</f>
        <v>18416.666666666668</v>
      </c>
    </row>
    <row r="199" spans="7:14" ht="12.75">
      <c r="G199" s="236">
        <f t="shared" si="34"/>
        <v>17083.333333333332</v>
      </c>
      <c r="N199" s="236">
        <f t="shared" si="35"/>
        <v>0</v>
      </c>
    </row>
    <row r="200" spans="7:14" ht="12.75">
      <c r="G200" s="236">
        <f t="shared" si="34"/>
        <v>0</v>
      </c>
      <c r="N200" s="236">
        <f t="shared" si="35"/>
        <v>17083.333333333332</v>
      </c>
    </row>
    <row r="201" spans="7:14" ht="12.75">
      <c r="G201" s="236">
        <f t="shared" si="34"/>
        <v>35500</v>
      </c>
      <c r="N201" s="236">
        <f t="shared" si="35"/>
        <v>18416.666666666668</v>
      </c>
    </row>
    <row r="202" spans="7:14" ht="12.75">
      <c r="G202" s="236">
        <f t="shared" si="34"/>
        <v>8454.750943028213</v>
      </c>
      <c r="N202" s="236">
        <f t="shared" si="35"/>
        <v>4168.5</v>
      </c>
    </row>
    <row r="203" spans="7:14" ht="12.75">
      <c r="G203" s="236">
        <f t="shared" si="34"/>
        <v>0</v>
      </c>
      <c r="N203" s="236">
        <f t="shared" si="35"/>
        <v>0</v>
      </c>
    </row>
    <row r="204" spans="7:14" ht="12.75">
      <c r="G204" s="236">
        <f t="shared" si="34"/>
        <v>9738.13754698691</v>
      </c>
      <c r="N204" s="236">
        <f t="shared" si="35"/>
        <v>5142.556905146001</v>
      </c>
    </row>
    <row r="205" spans="7:14" ht="12.75">
      <c r="G205" s="236">
        <f t="shared" si="34"/>
        <v>2314.28403349814</v>
      </c>
      <c r="N205" s="236">
        <f t="shared" si="35"/>
        <v>2241.7850000000003</v>
      </c>
    </row>
    <row r="206" spans="7:14" ht="12.75">
      <c r="G206" s="236">
        <f t="shared" si="34"/>
        <v>435.1615328177448</v>
      </c>
      <c r="N206" s="236">
        <f t="shared" si="35"/>
        <v>408.65</v>
      </c>
    </row>
    <row r="207" spans="7:14" ht="12.75">
      <c r="G207" s="236">
        <f t="shared" si="34"/>
        <v>5037.4241086818465</v>
      </c>
      <c r="N207" s="236">
        <f t="shared" si="35"/>
        <v>4611.5</v>
      </c>
    </row>
    <row r="208" spans="7:14" ht="12.75">
      <c r="G208" s="236">
        <f t="shared" si="34"/>
        <v>5187.920424793613</v>
      </c>
      <c r="N208" s="236">
        <f t="shared" si="35"/>
        <v>2895.475</v>
      </c>
    </row>
    <row r="209" spans="7:14" ht="12.75">
      <c r="G209" s="236">
        <f t="shared" si="34"/>
        <v>3323.043907284768</v>
      </c>
      <c r="N209" s="236">
        <f t="shared" si="35"/>
        <v>1726.33</v>
      </c>
    </row>
    <row r="210" spans="7:14" ht="12.75">
      <c r="G210" s="236">
        <f t="shared" si="34"/>
        <v>0</v>
      </c>
      <c r="N210" s="236">
        <f t="shared" si="35"/>
        <v>0</v>
      </c>
    </row>
    <row r="211" spans="7:14" ht="12.75">
      <c r="G211" s="236">
        <f t="shared" si="34"/>
        <v>320.93946442518717</v>
      </c>
      <c r="N211" s="236">
        <f t="shared" si="35"/>
        <v>47.25</v>
      </c>
    </row>
    <row r="259" ht="12.75"/>
    <row r="260" ht="12.75"/>
    <row r="261" ht="12.75"/>
    <row r="262" ht="12.75"/>
    <row r="264" ht="12.75"/>
    <row r="265" ht="12.75"/>
    <row r="266" ht="12.75"/>
    <row r="311" ht="12.75"/>
    <row r="312" ht="12.75"/>
    <row r="313" ht="12.75"/>
    <row r="314" ht="12.75"/>
    <row r="315" ht="12.75"/>
    <row r="316" ht="12.75"/>
    <row r="317" ht="12.75"/>
    <row r="318" ht="12.75"/>
    <row r="319" ht="12.75"/>
    <row r="320" ht="12.75"/>
    <row r="321" ht="12.75"/>
    <row r="322" ht="12.75"/>
    <row r="323" ht="12.75"/>
    <row r="324" ht="12.75"/>
    <row r="325" ht="12.75"/>
    <row r="326" ht="12.75"/>
  </sheetData>
  <sheetProtection sheet="1" objects="1" scenarios="1"/>
  <mergeCells count="15">
    <mergeCell ref="I78:L83"/>
    <mergeCell ref="P29:S34"/>
    <mergeCell ref="I36:L41"/>
    <mergeCell ref="H1:I2"/>
    <mergeCell ref="O1:P2"/>
    <mergeCell ref="A1:C2"/>
    <mergeCell ref="P22:S27"/>
    <mergeCell ref="I165:L170"/>
    <mergeCell ref="I121:L126"/>
    <mergeCell ref="P158:S163"/>
    <mergeCell ref="P64:S69"/>
    <mergeCell ref="P107:S112"/>
    <mergeCell ref="P151:S156"/>
    <mergeCell ref="P71:S76"/>
    <mergeCell ref="P114:S119"/>
  </mergeCells>
  <printOptions horizontalCentered="1"/>
  <pageMargins left="0.75" right="0.75" top="1" bottom="1" header="0.5" footer="0.5"/>
  <pageSetup fitToHeight="1" fitToWidth="1" horizontalDpi="600" verticalDpi="600" orientation="portrait" scale="40" r:id="rId5"/>
  <drawing r:id="rId3"/>
  <legacyDrawing r:id="rId2"/>
  <picture r:id="rId4"/>
</worksheet>
</file>

<file path=xl/worksheets/sheet8.xml><?xml version="1.0" encoding="utf-8"?>
<worksheet xmlns="http://schemas.openxmlformats.org/spreadsheetml/2006/main" xmlns:r="http://schemas.openxmlformats.org/officeDocument/2006/relationships">
  <sheetPr codeName="Sheet10">
    <pageSetUpPr fitToPage="1"/>
  </sheetPr>
  <dimension ref="A1:J21"/>
  <sheetViews>
    <sheetView showGridLines="0" workbookViewId="0" topLeftCell="A1">
      <selection activeCell="A1" sqref="A1:J1"/>
    </sheetView>
  </sheetViews>
  <sheetFormatPr defaultColWidth="9.140625" defaultRowHeight="12.75"/>
  <sheetData>
    <row r="1" spans="1:10" ht="12.75" customHeight="1">
      <c r="A1" s="380" t="s">
        <v>283</v>
      </c>
      <c r="B1" s="380"/>
      <c r="C1" s="380"/>
      <c r="D1" s="381"/>
      <c r="E1" s="381"/>
      <c r="F1" s="381"/>
      <c r="G1" s="381"/>
      <c r="H1" s="381"/>
      <c r="I1" s="406"/>
      <c r="J1" s="406"/>
    </row>
    <row r="2" ht="18.75" customHeight="1"/>
    <row r="21" spans="1:9" ht="12.75">
      <c r="A21" s="45"/>
      <c r="B21" s="5"/>
      <c r="C21" s="5"/>
      <c r="D21" s="5"/>
      <c r="E21" s="5"/>
      <c r="F21" s="5"/>
      <c r="G21" s="5"/>
      <c r="H21" s="5"/>
      <c r="I21" s="5"/>
    </row>
  </sheetData>
  <sheetProtection sheet="1" objects="1" scenarios="1"/>
  <mergeCells count="1">
    <mergeCell ref="A1:J1"/>
  </mergeCells>
  <printOptions horizontalCentered="1"/>
  <pageMargins left="0.75" right="0.75" top="1" bottom="1" header="0.5" footer="0.5"/>
  <pageSetup fitToHeight="1" fitToWidth="1" horizontalDpi="600" verticalDpi="600" orientation="portrait" scale="68" r:id="rId3"/>
  <drawing r:id="rId1"/>
  <picture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Y51"/>
  <sheetViews>
    <sheetView showGridLines="0" workbookViewId="0" topLeftCell="A1">
      <selection activeCell="A1" sqref="A1:I1"/>
    </sheetView>
  </sheetViews>
  <sheetFormatPr defaultColWidth="9.140625" defaultRowHeight="12.75"/>
  <cols>
    <col min="1" max="1" width="23.421875" style="7" customWidth="1"/>
    <col min="2" max="2" width="8.00390625" style="7" customWidth="1"/>
    <col min="3" max="5" width="7.28125" style="7" customWidth="1"/>
    <col min="6" max="6" width="7.421875" style="7" customWidth="1"/>
    <col min="7" max="7" width="12.00390625" style="7" customWidth="1"/>
    <col min="8" max="8" width="8.00390625" style="7" customWidth="1"/>
    <col min="9" max="9" width="9.421875" style="7" customWidth="1"/>
    <col min="10" max="10" width="8.140625" style="7" customWidth="1"/>
    <col min="11" max="11" width="12.8515625" style="7" customWidth="1"/>
    <col min="12" max="12" width="14.00390625" style="7" customWidth="1"/>
    <col min="13" max="13" width="13.7109375" style="7" customWidth="1"/>
    <col min="14" max="14" width="18.8515625" style="7" customWidth="1"/>
    <col min="15" max="15" width="14.140625" style="7" customWidth="1"/>
    <col min="16" max="16" width="12.57421875" style="7" customWidth="1"/>
    <col min="17" max="17" width="15.7109375" style="7" customWidth="1"/>
    <col min="18" max="19" width="13.28125" style="7" customWidth="1"/>
    <col min="20" max="20" width="11.57421875" style="7" customWidth="1"/>
    <col min="21" max="21" width="15.140625" style="7" customWidth="1"/>
    <col min="22" max="24" width="9.7109375" style="7" customWidth="1"/>
    <col min="25" max="16384" width="9.140625" style="7" customWidth="1"/>
  </cols>
  <sheetData>
    <row r="1" spans="1:24" ht="12.75" customHeight="1">
      <c r="A1" s="329" t="s">
        <v>166</v>
      </c>
      <c r="B1" s="330"/>
      <c r="C1" s="330"/>
      <c r="D1" s="330"/>
      <c r="E1" s="330"/>
      <c r="F1" s="330"/>
      <c r="G1" s="330"/>
      <c r="H1" s="330"/>
      <c r="I1" s="330"/>
      <c r="V1" s="41"/>
      <c r="W1" s="41"/>
      <c r="X1" s="41"/>
    </row>
    <row r="2" spans="1:24" ht="12.75">
      <c r="A2" s="5"/>
      <c r="B2" s="5"/>
      <c r="C2" s="5"/>
      <c r="D2" s="5"/>
      <c r="V2" s="5"/>
      <c r="W2" s="5"/>
      <c r="X2" s="5"/>
    </row>
    <row r="3" ht="12.75"/>
    <row r="4" spans="1:15" ht="12.75" customHeight="1">
      <c r="A4" s="421" t="s">
        <v>272</v>
      </c>
      <c r="B4" s="422"/>
      <c r="C4" s="422"/>
      <c r="D4" s="422"/>
      <c r="E4" s="422"/>
      <c r="F4" s="422"/>
      <c r="G4" s="422"/>
      <c r="H4" s="422"/>
      <c r="I4" s="422"/>
      <c r="J4" s="423"/>
      <c r="K4" s="425" t="s">
        <v>273</v>
      </c>
      <c r="L4" s="422"/>
      <c r="M4" s="422"/>
      <c r="N4" s="422"/>
      <c r="O4" s="422"/>
    </row>
    <row r="5" spans="1:15" ht="37.5" customHeight="1">
      <c r="A5" s="115" t="s">
        <v>249</v>
      </c>
      <c r="B5" s="115" t="s">
        <v>159</v>
      </c>
      <c r="C5" s="115" t="s">
        <v>164</v>
      </c>
      <c r="D5" s="115" t="s">
        <v>336</v>
      </c>
      <c r="E5" s="115" t="s">
        <v>337</v>
      </c>
      <c r="F5" s="115" t="s">
        <v>165</v>
      </c>
      <c r="G5" s="115" t="s">
        <v>167</v>
      </c>
      <c r="H5" s="115" t="s">
        <v>160</v>
      </c>
      <c r="I5" s="115" t="s">
        <v>269</v>
      </c>
      <c r="J5" s="116" t="s">
        <v>270</v>
      </c>
      <c r="K5" s="184" t="s">
        <v>199</v>
      </c>
      <c r="L5" s="115" t="s">
        <v>198</v>
      </c>
      <c r="M5" s="115" t="s">
        <v>250</v>
      </c>
      <c r="N5" s="185" t="s">
        <v>251</v>
      </c>
      <c r="O5" s="184" t="s">
        <v>34</v>
      </c>
    </row>
    <row r="6" spans="1:15" s="106" customFormat="1" ht="12.75">
      <c r="A6" s="129" t="s">
        <v>161</v>
      </c>
      <c r="B6" s="130" t="s">
        <v>162</v>
      </c>
      <c r="C6" s="130"/>
      <c r="D6" s="130" t="s">
        <v>162</v>
      </c>
      <c r="E6" s="130" t="s">
        <v>162</v>
      </c>
      <c r="F6" s="130" t="s">
        <v>162</v>
      </c>
      <c r="G6" s="130" t="s">
        <v>162</v>
      </c>
      <c r="H6" s="130" t="s">
        <v>163</v>
      </c>
      <c r="I6" s="130" t="s">
        <v>162</v>
      </c>
      <c r="J6" s="131" t="s">
        <v>265</v>
      </c>
      <c r="K6" s="186"/>
      <c r="L6" s="132"/>
      <c r="M6" s="132"/>
      <c r="N6" s="187"/>
      <c r="O6" s="186"/>
    </row>
    <row r="7" spans="1:15" ht="12.75">
      <c r="A7" s="117" t="s">
        <v>8</v>
      </c>
      <c r="B7" s="118">
        <v>42</v>
      </c>
      <c r="C7" s="426"/>
      <c r="D7" s="118">
        <v>44</v>
      </c>
      <c r="E7" s="118">
        <v>27</v>
      </c>
      <c r="F7" s="118">
        <v>48</v>
      </c>
      <c r="G7" s="118">
        <v>183016</v>
      </c>
      <c r="H7" s="118">
        <v>1968</v>
      </c>
      <c r="I7" s="119">
        <v>3560</v>
      </c>
      <c r="J7" s="119">
        <v>96</v>
      </c>
      <c r="K7" s="188" t="s">
        <v>168</v>
      </c>
      <c r="L7" s="135" t="s">
        <v>175</v>
      </c>
      <c r="M7" s="135" t="s">
        <v>175</v>
      </c>
      <c r="N7" s="189" t="s">
        <v>168</v>
      </c>
      <c r="O7" s="201">
        <v>2</v>
      </c>
    </row>
    <row r="8" spans="1:15" ht="12.75">
      <c r="A8" s="121" t="s">
        <v>7</v>
      </c>
      <c r="B8" s="122">
        <v>337</v>
      </c>
      <c r="C8" s="427"/>
      <c r="D8" s="122">
        <v>551</v>
      </c>
      <c r="E8" s="122">
        <v>484</v>
      </c>
      <c r="F8" s="122">
        <v>172</v>
      </c>
      <c r="G8" s="122">
        <v>37099</v>
      </c>
      <c r="H8" s="122">
        <v>536</v>
      </c>
      <c r="I8" s="119">
        <v>932</v>
      </c>
      <c r="J8" s="119">
        <v>169</v>
      </c>
      <c r="K8" s="190" t="s">
        <v>168</v>
      </c>
      <c r="L8" s="136" t="s">
        <v>175</v>
      </c>
      <c r="M8" s="136" t="s">
        <v>175</v>
      </c>
      <c r="N8" s="191" t="s">
        <v>168</v>
      </c>
      <c r="O8" s="202">
        <v>2</v>
      </c>
    </row>
    <row r="9" spans="1:15" ht="12.75">
      <c r="A9" s="49" t="s">
        <v>9</v>
      </c>
      <c r="B9" s="122">
        <v>45</v>
      </c>
      <c r="C9" s="122">
        <v>23</v>
      </c>
      <c r="D9" s="122">
        <v>331</v>
      </c>
      <c r="E9" s="122">
        <v>1998</v>
      </c>
      <c r="F9" s="122">
        <v>1410</v>
      </c>
      <c r="G9" s="122">
        <v>201800</v>
      </c>
      <c r="H9" s="128">
        <v>2106</v>
      </c>
      <c r="I9" s="119"/>
      <c r="J9" s="119">
        <v>42</v>
      </c>
      <c r="K9" s="192" t="s">
        <v>168</v>
      </c>
      <c r="L9" s="124" t="s">
        <v>175</v>
      </c>
      <c r="M9" s="124" t="s">
        <v>175</v>
      </c>
      <c r="N9" s="193" t="s">
        <v>168</v>
      </c>
      <c r="O9" s="203">
        <v>1</v>
      </c>
    </row>
    <row r="10" spans="1:15" ht="12.75">
      <c r="A10" s="49"/>
      <c r="B10" s="122"/>
      <c r="C10" s="122"/>
      <c r="D10" s="122"/>
      <c r="E10" s="122"/>
      <c r="F10" s="122"/>
      <c r="G10" s="119"/>
      <c r="H10" s="120"/>
      <c r="I10" s="119"/>
      <c r="J10" s="119"/>
      <c r="K10" s="192"/>
      <c r="L10" s="124"/>
      <c r="M10" s="124"/>
      <c r="N10" s="193"/>
      <c r="O10" s="203"/>
    </row>
    <row r="11" spans="1:15" s="106" customFormat="1" ht="12.75" customHeight="1">
      <c r="A11" s="126" t="s">
        <v>161</v>
      </c>
      <c r="B11" s="182" t="s">
        <v>173</v>
      </c>
      <c r="C11" s="182" t="s">
        <v>173</v>
      </c>
      <c r="D11" s="182" t="s">
        <v>173</v>
      </c>
      <c r="E11" s="182" t="s">
        <v>173</v>
      </c>
      <c r="F11" s="182" t="s">
        <v>173</v>
      </c>
      <c r="G11" s="183" t="s">
        <v>227</v>
      </c>
      <c r="H11" s="182" t="s">
        <v>236</v>
      </c>
      <c r="I11" s="133"/>
      <c r="J11" s="439"/>
      <c r="K11" s="192"/>
      <c r="L11" s="124"/>
      <c r="M11" s="124"/>
      <c r="N11" s="193"/>
      <c r="O11" s="203"/>
    </row>
    <row r="12" spans="1:15" ht="12.75" customHeight="1">
      <c r="A12" s="49" t="s">
        <v>171</v>
      </c>
      <c r="B12" s="127">
        <v>2.32232</v>
      </c>
      <c r="C12" s="127">
        <v>0.1299</v>
      </c>
      <c r="D12" s="127">
        <v>1.0881</v>
      </c>
      <c r="E12" s="127">
        <v>1.6727</v>
      </c>
      <c r="F12" s="127">
        <v>0.0812</v>
      </c>
      <c r="G12" s="128">
        <v>907.9</v>
      </c>
      <c r="H12" s="128">
        <v>3705</v>
      </c>
      <c r="I12" s="128"/>
      <c r="J12" s="440"/>
      <c r="K12" s="192" t="s">
        <v>168</v>
      </c>
      <c r="L12" s="124" t="s">
        <v>175</v>
      </c>
      <c r="M12" s="124" t="s">
        <v>175</v>
      </c>
      <c r="N12" s="193" t="s">
        <v>168</v>
      </c>
      <c r="O12" s="305" t="s">
        <v>252</v>
      </c>
    </row>
    <row r="13" spans="1:15" ht="12.75" customHeight="1">
      <c r="A13" s="49" t="s">
        <v>172</v>
      </c>
      <c r="B13" s="127">
        <v>2.97192</v>
      </c>
      <c r="C13" s="127">
        <v>0.7958</v>
      </c>
      <c r="D13" s="127">
        <v>1.0394</v>
      </c>
      <c r="E13" s="127">
        <v>0.6983</v>
      </c>
      <c r="F13" s="127">
        <v>0.0812</v>
      </c>
      <c r="G13" s="128">
        <v>1113.3</v>
      </c>
      <c r="H13" s="128">
        <v>3492</v>
      </c>
      <c r="I13" s="128"/>
      <c r="J13" s="440"/>
      <c r="K13" s="192" t="s">
        <v>168</v>
      </c>
      <c r="L13" s="124" t="s">
        <v>175</v>
      </c>
      <c r="M13" s="124" t="s">
        <v>175</v>
      </c>
      <c r="N13" s="193" t="s">
        <v>168</v>
      </c>
      <c r="O13" s="305" t="s">
        <v>252</v>
      </c>
    </row>
    <row r="14" spans="1:15" ht="12.75" customHeight="1">
      <c r="A14" s="49" t="s">
        <v>177</v>
      </c>
      <c r="B14" s="127">
        <f aca="true" t="shared" si="0" ref="B14:H14">AVERAGE(B12:B13)</f>
        <v>2.64712</v>
      </c>
      <c r="C14" s="127">
        <f t="shared" si="0"/>
        <v>0.46285</v>
      </c>
      <c r="D14" s="127">
        <f t="shared" si="0"/>
        <v>1.0637500000000002</v>
      </c>
      <c r="E14" s="127">
        <f t="shared" si="0"/>
        <v>1.1855</v>
      </c>
      <c r="F14" s="127">
        <f t="shared" si="0"/>
        <v>0.0812</v>
      </c>
      <c r="G14" s="127">
        <f t="shared" si="0"/>
        <v>1010.5999999999999</v>
      </c>
      <c r="H14" s="127">
        <f t="shared" si="0"/>
        <v>3598.5</v>
      </c>
      <c r="I14" s="127"/>
      <c r="J14" s="441"/>
      <c r="K14" s="192" t="s">
        <v>168</v>
      </c>
      <c r="L14" s="124" t="s">
        <v>175</v>
      </c>
      <c r="M14" s="124" t="s">
        <v>175</v>
      </c>
      <c r="N14" s="193" t="s">
        <v>168</v>
      </c>
      <c r="O14" s="305" t="s">
        <v>252</v>
      </c>
    </row>
    <row r="15" spans="1:15" ht="12.75">
      <c r="A15" s="49" t="s">
        <v>102</v>
      </c>
      <c r="B15" s="122"/>
      <c r="C15" s="122"/>
      <c r="D15" s="122"/>
      <c r="E15" s="122"/>
      <c r="F15" s="122"/>
      <c r="G15" s="119"/>
      <c r="H15" s="125"/>
      <c r="I15" s="119"/>
      <c r="J15" s="119"/>
      <c r="K15" s="192"/>
      <c r="L15" s="124"/>
      <c r="M15" s="124"/>
      <c r="N15" s="194"/>
      <c r="O15" s="203"/>
    </row>
    <row r="16" spans="1:24" s="57" customFormat="1" ht="12.75">
      <c r="A16" s="154"/>
      <c r="B16" s="155"/>
      <c r="C16" s="155"/>
      <c r="D16" s="155"/>
      <c r="E16" s="155"/>
      <c r="F16" s="155"/>
      <c r="G16" s="155"/>
      <c r="H16" s="155"/>
      <c r="I16" s="155"/>
      <c r="J16" s="155"/>
      <c r="K16" s="155"/>
      <c r="L16" s="155"/>
      <c r="M16" s="155"/>
      <c r="N16" s="155"/>
      <c r="O16" s="155"/>
      <c r="P16" s="156"/>
      <c r="Q16" s="155"/>
      <c r="R16" s="157"/>
      <c r="S16" s="157"/>
      <c r="T16" s="157"/>
      <c r="U16" s="155"/>
      <c r="V16" s="158"/>
      <c r="W16" s="158"/>
      <c r="X16" s="158"/>
    </row>
    <row r="17" spans="1:24" s="57" customFormat="1" ht="12.75" customHeight="1">
      <c r="A17" s="435" t="s">
        <v>374</v>
      </c>
      <c r="B17" s="436"/>
      <c r="C17" s="436"/>
      <c r="D17" s="436"/>
      <c r="E17" s="436"/>
      <c r="F17" s="436"/>
      <c r="G17" s="436"/>
      <c r="H17" s="436"/>
      <c r="I17" s="436"/>
      <c r="J17" s="436"/>
      <c r="K17" s="437"/>
      <c r="L17" s="437"/>
      <c r="M17" s="155"/>
      <c r="N17" s="155"/>
      <c r="O17" s="155"/>
      <c r="P17" s="156"/>
      <c r="Q17" s="155"/>
      <c r="R17" s="157"/>
      <c r="S17" s="157"/>
      <c r="T17" s="157"/>
      <c r="U17" s="155"/>
      <c r="V17" s="158"/>
      <c r="W17" s="158"/>
      <c r="X17" s="158"/>
    </row>
    <row r="18" spans="1:24" s="57" customFormat="1" ht="25.5">
      <c r="A18" s="115" t="s">
        <v>249</v>
      </c>
      <c r="B18" s="115" t="s">
        <v>159</v>
      </c>
      <c r="C18" s="115" t="s">
        <v>164</v>
      </c>
      <c r="D18" s="115" t="s">
        <v>336</v>
      </c>
      <c r="E18" s="115" t="s">
        <v>337</v>
      </c>
      <c r="F18" s="115" t="s">
        <v>165</v>
      </c>
      <c r="G18" s="115" t="s">
        <v>167</v>
      </c>
      <c r="H18" s="115" t="s">
        <v>160</v>
      </c>
      <c r="I18" s="115" t="s">
        <v>269</v>
      </c>
      <c r="J18" s="115" t="s">
        <v>270</v>
      </c>
      <c r="K18" s="425" t="s">
        <v>34</v>
      </c>
      <c r="L18" s="379"/>
      <c r="M18" s="155"/>
      <c r="N18" s="155"/>
      <c r="O18" s="155"/>
      <c r="P18" s="156"/>
      <c r="Q18" s="155"/>
      <c r="R18" s="157"/>
      <c r="S18" s="157"/>
      <c r="T18" s="157"/>
      <c r="U18" s="155"/>
      <c r="V18" s="158"/>
      <c r="W18" s="158"/>
      <c r="X18" s="158"/>
    </row>
    <row r="19" spans="1:24" s="57" customFormat="1" ht="12.75">
      <c r="A19" s="129" t="s">
        <v>161</v>
      </c>
      <c r="B19" s="130" t="s">
        <v>162</v>
      </c>
      <c r="C19" s="130"/>
      <c r="D19" s="130" t="s">
        <v>162</v>
      </c>
      <c r="E19" s="130" t="s">
        <v>162</v>
      </c>
      <c r="F19" s="130" t="s">
        <v>162</v>
      </c>
      <c r="G19" s="130" t="s">
        <v>162</v>
      </c>
      <c r="H19" s="130" t="s">
        <v>163</v>
      </c>
      <c r="I19" s="130"/>
      <c r="J19" s="130" t="s">
        <v>377</v>
      </c>
      <c r="K19" s="432"/>
      <c r="L19" s="415"/>
      <c r="M19" s="155"/>
      <c r="N19" s="155"/>
      <c r="O19" s="155"/>
      <c r="P19" s="156"/>
      <c r="Q19" s="155"/>
      <c r="R19" s="157"/>
      <c r="S19" s="157"/>
      <c r="T19" s="157"/>
      <c r="U19" s="155"/>
      <c r="V19" s="158"/>
      <c r="W19" s="158"/>
      <c r="X19" s="158"/>
    </row>
    <row r="20" spans="1:24" s="57" customFormat="1" ht="12.75" customHeight="1">
      <c r="A20" s="117" t="s">
        <v>8</v>
      </c>
      <c r="B20" s="303">
        <f>(13-1.38)/'Cost Data'!$D$47</f>
        <v>10.541594847137803</v>
      </c>
      <c r="C20" s="307"/>
      <c r="D20" s="306">
        <f>(57.1-29.5)/'Cost Data'!$D$47</f>
        <v>25.038555747074298</v>
      </c>
      <c r="E20" s="306">
        <f>24.4/'Cost Data'!$D$47</f>
        <v>22.135534790891768</v>
      </c>
      <c r="F20" s="303">
        <f>(4.01-2.07)/'Cost Data'!$D$47</f>
        <v>1.7599564546856572</v>
      </c>
      <c r="G20" s="118">
        <f>0.01*1000000</f>
        <v>10000</v>
      </c>
      <c r="H20" s="304">
        <f>(39+33)/'Cost Data'!$D$47</f>
        <v>65.31797151410686</v>
      </c>
      <c r="I20" s="125">
        <v>0</v>
      </c>
      <c r="J20" s="308">
        <f>473/'Cost Data'!$D$47/'Cost Data'!D50</f>
        <v>113.21973221259361</v>
      </c>
      <c r="K20" s="428" t="s">
        <v>375</v>
      </c>
      <c r="L20" s="429"/>
      <c r="M20" s="155"/>
      <c r="N20" s="155"/>
      <c r="O20" s="155"/>
      <c r="P20" s="156"/>
      <c r="Q20" s="155"/>
      <c r="R20" s="157"/>
      <c r="S20" s="157"/>
      <c r="T20" s="157"/>
      <c r="U20" s="155"/>
      <c r="V20" s="158"/>
      <c r="W20" s="158"/>
      <c r="X20" s="158"/>
    </row>
    <row r="21" spans="1:24" s="57" customFormat="1" ht="12.75">
      <c r="A21" s="121" t="s">
        <v>7</v>
      </c>
      <c r="B21" s="303">
        <f>(13-1.38)/'Cost Data'!$D$47</f>
        <v>10.541594847137803</v>
      </c>
      <c r="C21" s="307"/>
      <c r="D21" s="306">
        <f>(57.1-29.5)/'Cost Data'!$D$47</f>
        <v>25.038555747074298</v>
      </c>
      <c r="E21" s="306">
        <f>24.4/'Cost Data'!$D$47</f>
        <v>22.135534790891768</v>
      </c>
      <c r="F21" s="303">
        <f>(4.01-2.07)/'Cost Data'!$D$47</f>
        <v>1.7599564546856572</v>
      </c>
      <c r="G21" s="118">
        <f>0.01*1000000</f>
        <v>10000</v>
      </c>
      <c r="H21" s="304">
        <f>(39+33)/'Cost Data'!$D$47</f>
        <v>65.31797151410686</v>
      </c>
      <c r="I21" s="125">
        <v>0</v>
      </c>
      <c r="J21" s="308">
        <f>473/'Cost Data'!$D$47/'Cost Data'!D50</f>
        <v>113.21973221259361</v>
      </c>
      <c r="K21" s="428" t="s">
        <v>375</v>
      </c>
      <c r="L21" s="429"/>
      <c r="M21" s="155"/>
      <c r="N21" s="155"/>
      <c r="O21" s="155"/>
      <c r="P21" s="156"/>
      <c r="Q21" s="155"/>
      <c r="R21" s="157"/>
      <c r="S21" s="157"/>
      <c r="T21" s="157"/>
      <c r="U21" s="155"/>
      <c r="V21" s="158"/>
      <c r="W21" s="158"/>
      <c r="X21" s="158"/>
    </row>
    <row r="22" spans="1:24" s="57" customFormat="1" ht="12.75">
      <c r="A22" s="49"/>
      <c r="B22" s="122"/>
      <c r="C22" s="122"/>
      <c r="D22" s="122"/>
      <c r="E22" s="122"/>
      <c r="F22" s="122"/>
      <c r="G22" s="119"/>
      <c r="H22" s="120"/>
      <c r="I22" s="120"/>
      <c r="J22" s="298"/>
      <c r="K22" s="438"/>
      <c r="L22" s="415"/>
      <c r="M22" s="155"/>
      <c r="N22" s="155"/>
      <c r="O22" s="155"/>
      <c r="P22" s="156"/>
      <c r="Q22" s="155"/>
      <c r="R22" s="157"/>
      <c r="S22" s="157"/>
      <c r="T22" s="157"/>
      <c r="U22" s="155"/>
      <c r="V22" s="158"/>
      <c r="W22" s="158"/>
      <c r="X22" s="158"/>
    </row>
    <row r="23" spans="1:24" s="57" customFormat="1" ht="25.5">
      <c r="A23" s="126" t="s">
        <v>161</v>
      </c>
      <c r="B23" s="182" t="s">
        <v>173</v>
      </c>
      <c r="C23" s="182" t="s">
        <v>173</v>
      </c>
      <c r="D23" s="182" t="s">
        <v>173</v>
      </c>
      <c r="E23" s="182" t="s">
        <v>173</v>
      </c>
      <c r="F23" s="182" t="s">
        <v>173</v>
      </c>
      <c r="G23" s="130" t="s">
        <v>227</v>
      </c>
      <c r="H23" s="182" t="s">
        <v>236</v>
      </c>
      <c r="I23" s="309"/>
      <c r="J23" s="430"/>
      <c r="K23" s="438"/>
      <c r="L23" s="415"/>
      <c r="M23" s="155"/>
      <c r="N23" s="155"/>
      <c r="O23" s="155"/>
      <c r="P23" s="156"/>
      <c r="Q23" s="155"/>
      <c r="R23" s="157"/>
      <c r="S23" s="157"/>
      <c r="T23" s="157"/>
      <c r="U23" s="155"/>
      <c r="V23" s="158"/>
      <c r="W23" s="158"/>
      <c r="X23" s="158"/>
    </row>
    <row r="24" spans="1:24" s="57" customFormat="1" ht="12.75" customHeight="1">
      <c r="A24" s="49" t="s">
        <v>177</v>
      </c>
      <c r="B24" s="127">
        <f>(0.457-0.416)*'Cost Data'!D48/1000/'Cost Data'!D47*'Cost Data'!D42*1000</f>
        <v>0.0015816876077292944</v>
      </c>
      <c r="C24" s="127">
        <f>(0.37-0.337)*'Cost Data'!D48/1000/'Cost Data'!D47*'Cost Data'!D42*1000</f>
        <v>0.0012730656354894298</v>
      </c>
      <c r="D24" s="127">
        <f>(2.01-1.83)*'Cost Data'!D48/1000/'Cost Data'!D47*'Cost Data'!D42*1000</f>
        <v>0.0069439943753968865</v>
      </c>
      <c r="E24" s="127">
        <f>(0.241-0.219)*'Cost Data'!D48/1000/'Cost Data'!D47*'Cost Data'!D42*1000</f>
        <v>0.0008487104236596204</v>
      </c>
      <c r="F24" s="127">
        <f>(4.01-3.65)*'Cost Data'!D48/1000/'Cost Data'!D47*'Cost Data'!D42*1000</f>
        <v>0.013887988750793787</v>
      </c>
      <c r="G24" s="322">
        <f>2.45*'Cost Data'!D42*1000*'Cost Data'!D49*1000</f>
        <v>1002.2727272727273</v>
      </c>
      <c r="H24" s="127">
        <v>3572.73</v>
      </c>
      <c r="I24" s="128">
        <v>0</v>
      </c>
      <c r="J24" s="431"/>
      <c r="K24" s="428" t="s">
        <v>388</v>
      </c>
      <c r="L24" s="429"/>
      <c r="M24" s="155"/>
      <c r="N24" s="155"/>
      <c r="O24" s="155"/>
      <c r="P24" s="156"/>
      <c r="Q24" s="155"/>
      <c r="R24" s="157"/>
      <c r="S24" s="157"/>
      <c r="T24" s="157"/>
      <c r="U24" s="155"/>
      <c r="V24" s="158"/>
      <c r="W24" s="158"/>
      <c r="X24" s="158"/>
    </row>
    <row r="25" spans="1:24" s="57" customFormat="1" ht="12.75">
      <c r="A25" s="49" t="s">
        <v>102</v>
      </c>
      <c r="B25" s="299"/>
      <c r="C25" s="299"/>
      <c r="D25" s="299"/>
      <c r="E25" s="299"/>
      <c r="F25" s="299"/>
      <c r="G25" s="300"/>
      <c r="H25" s="301"/>
      <c r="I25" s="301"/>
      <c r="J25" s="302"/>
      <c r="K25" s="438"/>
      <c r="L25" s="415"/>
      <c r="M25" s="155"/>
      <c r="N25" s="155"/>
      <c r="O25" s="155"/>
      <c r="P25" s="156"/>
      <c r="Q25" s="155"/>
      <c r="R25" s="157"/>
      <c r="S25" s="157"/>
      <c r="T25" s="157"/>
      <c r="U25" s="155"/>
      <c r="V25" s="158"/>
      <c r="W25" s="158"/>
      <c r="X25" s="158"/>
    </row>
    <row r="26" spans="1:24" s="57" customFormat="1" ht="12.75">
      <c r="A26" s="154"/>
      <c r="B26" s="155"/>
      <c r="C26" s="155"/>
      <c r="D26" s="155"/>
      <c r="E26" s="155"/>
      <c r="F26" s="155"/>
      <c r="G26" s="155"/>
      <c r="H26" s="155"/>
      <c r="I26" s="155"/>
      <c r="J26" s="155"/>
      <c r="K26" s="155"/>
      <c r="L26" s="155"/>
      <c r="M26" s="155"/>
      <c r="N26" s="155"/>
      <c r="O26" s="155"/>
      <c r="P26" s="156"/>
      <c r="Q26" s="155"/>
      <c r="R26" s="157"/>
      <c r="S26" s="157"/>
      <c r="T26" s="157"/>
      <c r="U26" s="163"/>
      <c r="V26" s="163"/>
      <c r="W26" s="163"/>
      <c r="X26" s="158"/>
    </row>
    <row r="27" spans="1:23" s="57" customFormat="1" ht="12.75" customHeight="1">
      <c r="A27" s="159" t="s">
        <v>243</v>
      </c>
      <c r="B27" s="115" t="s">
        <v>159</v>
      </c>
      <c r="C27" s="115" t="s">
        <v>164</v>
      </c>
      <c r="D27" s="115" t="s">
        <v>336</v>
      </c>
      <c r="E27" s="115" t="s">
        <v>337</v>
      </c>
      <c r="F27" s="115" t="s">
        <v>165</v>
      </c>
      <c r="G27" s="115" t="s">
        <v>167</v>
      </c>
      <c r="H27" s="421" t="s">
        <v>192</v>
      </c>
      <c r="I27" s="433"/>
      <c r="J27" s="421" t="s">
        <v>201</v>
      </c>
      <c r="K27" s="424"/>
      <c r="L27" s="421" t="s">
        <v>244</v>
      </c>
      <c r="M27" s="411"/>
      <c r="N27" s="411"/>
      <c r="O27" s="411"/>
      <c r="P27" s="379"/>
      <c r="Q27" s="115" t="s">
        <v>203</v>
      </c>
      <c r="R27" s="115" t="s">
        <v>205</v>
      </c>
      <c r="S27" s="160"/>
      <c r="T27" s="160"/>
      <c r="U27"/>
      <c r="V27"/>
      <c r="W27"/>
    </row>
    <row r="28" spans="1:23" s="57" customFormat="1" ht="36.75" customHeight="1">
      <c r="A28" s="126" t="s">
        <v>161</v>
      </c>
      <c r="B28" s="126" t="s">
        <v>197</v>
      </c>
      <c r="C28" s="126" t="s">
        <v>197</v>
      </c>
      <c r="D28" s="126" t="s">
        <v>197</v>
      </c>
      <c r="E28" s="126" t="s">
        <v>197</v>
      </c>
      <c r="F28" s="126" t="s">
        <v>197</v>
      </c>
      <c r="G28" s="126" t="s">
        <v>197</v>
      </c>
      <c r="H28" s="434" t="s">
        <v>193</v>
      </c>
      <c r="I28" s="429"/>
      <c r="J28" s="410"/>
      <c r="K28" s="411"/>
      <c r="L28" s="410" t="s">
        <v>228</v>
      </c>
      <c r="M28" s="411"/>
      <c r="N28" s="411"/>
      <c r="O28" s="411"/>
      <c r="P28" s="379"/>
      <c r="Q28" s="162"/>
      <c r="R28" s="162"/>
      <c r="S28" s="160"/>
      <c r="T28" s="160"/>
      <c r="U28"/>
      <c r="V28"/>
      <c r="W28"/>
    </row>
    <row r="29" spans="1:23" s="57" customFormat="1" ht="38.25" customHeight="1">
      <c r="A29" s="153" t="s">
        <v>190</v>
      </c>
      <c r="B29" s="153">
        <v>4.327</v>
      </c>
      <c r="C29" s="153">
        <v>0.796</v>
      </c>
      <c r="D29" s="153">
        <v>21.301</v>
      </c>
      <c r="E29" s="153">
        <v>0.3446</v>
      </c>
      <c r="F29" s="153">
        <v>0.6067</v>
      </c>
      <c r="G29" s="153">
        <v>1584.8</v>
      </c>
      <c r="H29" s="416">
        <v>20</v>
      </c>
      <c r="I29" s="415"/>
      <c r="J29" s="410">
        <v>4</v>
      </c>
      <c r="K29" s="411"/>
      <c r="L29" s="410" t="s">
        <v>247</v>
      </c>
      <c r="M29" s="411"/>
      <c r="N29" s="411"/>
      <c r="O29" s="411"/>
      <c r="P29" s="379"/>
      <c r="Q29" s="161" t="s">
        <v>211</v>
      </c>
      <c r="R29" s="161">
        <v>8</v>
      </c>
      <c r="S29" s="160"/>
      <c r="T29" s="160"/>
      <c r="U29"/>
      <c r="V29"/>
      <c r="W29"/>
    </row>
    <row r="30" spans="1:23" s="57" customFormat="1" ht="12.75">
      <c r="A30" s="153" t="s">
        <v>191</v>
      </c>
      <c r="B30" s="153">
        <v>4.327</v>
      </c>
      <c r="C30" s="153">
        <v>0.796</v>
      </c>
      <c r="D30" s="153">
        <v>21.301</v>
      </c>
      <c r="E30" s="153">
        <v>0.3446</v>
      </c>
      <c r="F30" s="153">
        <v>0.6067</v>
      </c>
      <c r="G30" s="153">
        <v>1584.8</v>
      </c>
      <c r="H30" s="416">
        <v>20</v>
      </c>
      <c r="I30" s="415"/>
      <c r="J30" s="410">
        <v>5</v>
      </c>
      <c r="K30" s="411"/>
      <c r="L30" s="410"/>
      <c r="M30" s="411"/>
      <c r="N30" s="411"/>
      <c r="O30" s="411"/>
      <c r="P30" s="379"/>
      <c r="Q30" s="161" t="s">
        <v>211</v>
      </c>
      <c r="R30" s="161">
        <v>11</v>
      </c>
      <c r="S30" s="160"/>
      <c r="T30" s="160"/>
      <c r="U30"/>
      <c r="V30"/>
      <c r="W30"/>
    </row>
    <row r="31" spans="1:23" s="57" customFormat="1" ht="25.5" customHeight="1">
      <c r="A31" s="153" t="s">
        <v>194</v>
      </c>
      <c r="B31" s="153">
        <v>5.784</v>
      </c>
      <c r="C31" s="153">
        <v>1.009</v>
      </c>
      <c r="D31" s="153">
        <v>24.715</v>
      </c>
      <c r="E31" s="153">
        <v>0.3665</v>
      </c>
      <c r="F31" s="153">
        <v>0.6632</v>
      </c>
      <c r="G31" s="153">
        <v>1685.6</v>
      </c>
      <c r="H31" s="416">
        <f>12000*'Cost Data'!D38</f>
        <v>26.999999999999996</v>
      </c>
      <c r="I31" s="415"/>
      <c r="J31" s="410">
        <v>6</v>
      </c>
      <c r="K31" s="411"/>
      <c r="L31" s="410" t="s">
        <v>200</v>
      </c>
      <c r="M31" s="411"/>
      <c r="N31" s="411"/>
      <c r="O31" s="411"/>
      <c r="P31" s="379"/>
      <c r="Q31" s="161" t="s">
        <v>204</v>
      </c>
      <c r="R31" s="161">
        <v>9</v>
      </c>
      <c r="S31" s="160"/>
      <c r="T31" s="160"/>
      <c r="U31"/>
      <c r="V31"/>
      <c r="W31"/>
    </row>
    <row r="32" spans="1:23" s="57" customFormat="1" ht="25.5" customHeight="1">
      <c r="A32" s="153" t="s">
        <v>195</v>
      </c>
      <c r="B32" s="153">
        <v>5.784</v>
      </c>
      <c r="C32" s="153">
        <v>1.009</v>
      </c>
      <c r="D32" s="153">
        <v>24.715</v>
      </c>
      <c r="E32" s="153">
        <v>0.3665</v>
      </c>
      <c r="F32" s="153">
        <v>0.6632</v>
      </c>
      <c r="G32" s="153">
        <v>1685.6</v>
      </c>
      <c r="H32" s="414">
        <f>6080*'Cost Data'!D42</f>
        <v>9.120000000000001</v>
      </c>
      <c r="I32" s="415"/>
      <c r="J32" s="410">
        <v>7</v>
      </c>
      <c r="K32" s="411"/>
      <c r="L32" s="410" t="s">
        <v>206</v>
      </c>
      <c r="M32" s="411"/>
      <c r="N32" s="411"/>
      <c r="O32" s="411"/>
      <c r="P32" s="379"/>
      <c r="Q32" s="161" t="s">
        <v>204</v>
      </c>
      <c r="R32" s="161">
        <v>9</v>
      </c>
      <c r="S32" s="160"/>
      <c r="T32" s="160"/>
      <c r="U32"/>
      <c r="V32"/>
      <c r="W32"/>
    </row>
    <row r="33" spans="1:23" s="57" customFormat="1" ht="12.75" customHeight="1">
      <c r="A33" s="126" t="s">
        <v>161</v>
      </c>
      <c r="B33" s="126" t="s">
        <v>197</v>
      </c>
      <c r="C33" s="126" t="s">
        <v>197</v>
      </c>
      <c r="D33" s="126" t="s">
        <v>197</v>
      </c>
      <c r="E33" s="126" t="s">
        <v>197</v>
      </c>
      <c r="F33" s="126" t="s">
        <v>197</v>
      </c>
      <c r="G33" s="126" t="s">
        <v>197</v>
      </c>
      <c r="H33" s="448" t="s">
        <v>210</v>
      </c>
      <c r="I33" s="415"/>
      <c r="J33" s="410"/>
      <c r="K33" s="411"/>
      <c r="L33" s="410"/>
      <c r="M33" s="411"/>
      <c r="N33" s="411"/>
      <c r="O33" s="411"/>
      <c r="P33" s="379"/>
      <c r="Q33" s="161"/>
      <c r="R33" s="161"/>
      <c r="S33" s="160"/>
      <c r="T33" s="160"/>
      <c r="U33"/>
      <c r="V33"/>
      <c r="W33"/>
    </row>
    <row r="34" spans="1:23" s="57" customFormat="1" ht="38.25" customHeight="1" thickBot="1">
      <c r="A34" s="164" t="s">
        <v>196</v>
      </c>
      <c r="B34" s="164">
        <v>5.784</v>
      </c>
      <c r="C34" s="164">
        <v>1.009</v>
      </c>
      <c r="D34" s="164">
        <v>24.715</v>
      </c>
      <c r="E34" s="164">
        <v>0.3665</v>
      </c>
      <c r="F34" s="153">
        <v>0.6632</v>
      </c>
      <c r="G34" s="164">
        <v>1685.6</v>
      </c>
      <c r="H34" s="412">
        <v>18</v>
      </c>
      <c r="I34" s="413"/>
      <c r="J34" s="407">
        <v>10</v>
      </c>
      <c r="K34" s="408"/>
      <c r="L34" s="407" t="s">
        <v>246</v>
      </c>
      <c r="M34" s="408"/>
      <c r="N34" s="408"/>
      <c r="O34" s="408"/>
      <c r="P34" s="409"/>
      <c r="Q34" s="165" t="s">
        <v>204</v>
      </c>
      <c r="R34" s="165">
        <v>10</v>
      </c>
      <c r="S34" s="160"/>
      <c r="T34" s="160"/>
      <c r="U34"/>
      <c r="V34"/>
      <c r="W34"/>
    </row>
    <row r="35" spans="1:23" s="57" customFormat="1" ht="12.75" customHeight="1">
      <c r="A35" s="418" t="s">
        <v>248</v>
      </c>
      <c r="B35" s="419"/>
      <c r="C35" s="419"/>
      <c r="D35" s="419"/>
      <c r="E35" s="419"/>
      <c r="F35" s="419"/>
      <c r="G35" s="419"/>
      <c r="H35" s="419"/>
      <c r="I35" s="419"/>
      <c r="J35" s="419"/>
      <c r="K35" s="419"/>
      <c r="L35" s="419"/>
      <c r="M35" s="419"/>
      <c r="N35" s="419"/>
      <c r="O35" s="419"/>
      <c r="P35" s="419"/>
      <c r="Q35" s="419"/>
      <c r="R35" s="420"/>
      <c r="S35" s="160"/>
      <c r="T35" s="160"/>
      <c r="U35"/>
      <c r="V35"/>
      <c r="W35"/>
    </row>
    <row r="36" spans="21:25" ht="12.75">
      <c r="U36"/>
      <c r="V36"/>
      <c r="W36"/>
      <c r="X36"/>
      <c r="Y36"/>
    </row>
    <row r="37" spans="1:25" ht="12.75">
      <c r="A37" s="353" t="s">
        <v>169</v>
      </c>
      <c r="B37" s="353"/>
      <c r="C37" s="353"/>
      <c r="D37" s="353"/>
      <c r="E37" s="353"/>
      <c r="F37" s="353"/>
      <c r="G37" s="353"/>
      <c r="H37" s="353"/>
      <c r="I37" s="353"/>
      <c r="J37" s="353"/>
      <c r="K37" s="353"/>
      <c r="L37" s="353"/>
      <c r="M37" s="353"/>
      <c r="N37" s="353"/>
      <c r="O37" s="353"/>
      <c r="P37" s="353"/>
      <c r="Q37" s="353"/>
      <c r="R37" s="353"/>
      <c r="S37" s="353"/>
      <c r="T37" s="353"/>
      <c r="U37"/>
      <c r="V37"/>
      <c r="W37"/>
      <c r="X37"/>
      <c r="Y37"/>
    </row>
    <row r="38" spans="1:25" ht="12.75">
      <c r="A38" s="416" t="s">
        <v>170</v>
      </c>
      <c r="B38" s="417"/>
      <c r="C38" s="417"/>
      <c r="D38" s="417"/>
      <c r="E38" s="417"/>
      <c r="F38" s="417"/>
      <c r="G38" s="417"/>
      <c r="H38" s="417"/>
      <c r="I38" s="417"/>
      <c r="J38" s="417"/>
      <c r="K38" s="417"/>
      <c r="L38" s="417"/>
      <c r="M38" s="417"/>
      <c r="N38" s="417"/>
      <c r="O38" s="417"/>
      <c r="P38" s="417"/>
      <c r="Q38" s="417"/>
      <c r="R38" s="417"/>
      <c r="S38" s="417"/>
      <c r="T38" s="417"/>
      <c r="U38"/>
      <c r="V38"/>
      <c r="W38"/>
      <c r="X38"/>
      <c r="Y38"/>
    </row>
    <row r="39" spans="1:25" ht="12.75">
      <c r="A39" s="416" t="s">
        <v>245</v>
      </c>
      <c r="B39" s="417"/>
      <c r="C39" s="417"/>
      <c r="D39" s="417"/>
      <c r="E39" s="417"/>
      <c r="F39" s="417"/>
      <c r="G39" s="417"/>
      <c r="H39" s="417"/>
      <c r="I39" s="417"/>
      <c r="J39" s="417"/>
      <c r="K39" s="417"/>
      <c r="L39" s="417"/>
      <c r="M39" s="417"/>
      <c r="N39" s="417"/>
      <c r="O39" s="417"/>
      <c r="P39" s="417"/>
      <c r="Q39" s="417"/>
      <c r="R39" s="417"/>
      <c r="S39" s="417"/>
      <c r="T39" s="417"/>
      <c r="W39"/>
      <c r="X39"/>
      <c r="Y39"/>
    </row>
    <row r="40" spans="1:25" ht="12.75">
      <c r="A40" s="416" t="s">
        <v>255</v>
      </c>
      <c r="B40" s="417"/>
      <c r="C40" s="417"/>
      <c r="D40" s="417"/>
      <c r="E40" s="417"/>
      <c r="F40" s="417"/>
      <c r="G40" s="417"/>
      <c r="H40" s="417"/>
      <c r="I40" s="417"/>
      <c r="J40" s="417"/>
      <c r="K40" s="417"/>
      <c r="L40" s="417"/>
      <c r="M40" s="417"/>
      <c r="N40" s="417"/>
      <c r="O40" s="417"/>
      <c r="P40" s="417"/>
      <c r="Q40" s="417"/>
      <c r="R40" s="417"/>
      <c r="S40" s="417"/>
      <c r="T40" s="417"/>
      <c r="W40"/>
      <c r="X40"/>
      <c r="Y40"/>
    </row>
    <row r="41" spans="1:25" ht="12.75">
      <c r="A41" s="446" t="s">
        <v>256</v>
      </c>
      <c r="B41" s="447"/>
      <c r="C41" s="447"/>
      <c r="D41" s="447"/>
      <c r="E41" s="447"/>
      <c r="F41" s="447"/>
      <c r="G41" s="447"/>
      <c r="H41" s="447"/>
      <c r="I41" s="447"/>
      <c r="J41" s="447"/>
      <c r="K41" s="447"/>
      <c r="L41" s="447"/>
      <c r="M41" s="447"/>
      <c r="N41" s="447"/>
      <c r="O41" s="447"/>
      <c r="P41" s="447"/>
      <c r="Q41" s="447"/>
      <c r="R41" s="447"/>
      <c r="S41" s="447"/>
      <c r="T41" s="447"/>
      <c r="W41"/>
      <c r="X41"/>
      <c r="Y41"/>
    </row>
    <row r="42" spans="1:20" ht="12.75">
      <c r="A42" s="445" t="s">
        <v>231</v>
      </c>
      <c r="B42" s="445"/>
      <c r="C42" s="445"/>
      <c r="D42" s="445"/>
      <c r="E42" s="445"/>
      <c r="F42" s="445"/>
      <c r="G42" s="445"/>
      <c r="H42" s="445"/>
      <c r="I42" s="445"/>
      <c r="J42" s="445"/>
      <c r="K42" s="445"/>
      <c r="L42" s="445"/>
      <c r="M42" s="445"/>
      <c r="N42" s="445"/>
      <c r="O42" s="445"/>
      <c r="P42" s="445"/>
      <c r="Q42" s="445"/>
      <c r="R42" s="445"/>
      <c r="S42" s="445"/>
      <c r="T42" s="445"/>
    </row>
    <row r="43" spans="1:20" ht="12.75">
      <c r="A43" s="444" t="s">
        <v>253</v>
      </c>
      <c r="B43" s="445"/>
      <c r="C43" s="445"/>
      <c r="D43" s="445"/>
      <c r="E43" s="445"/>
      <c r="F43" s="445"/>
      <c r="G43" s="445"/>
      <c r="H43" s="445"/>
      <c r="I43" s="445"/>
      <c r="J43" s="445"/>
      <c r="K43" s="445"/>
      <c r="L43" s="445"/>
      <c r="M43" s="445"/>
      <c r="N43" s="445"/>
      <c r="O43" s="445"/>
      <c r="P43" s="445"/>
      <c r="Q43" s="445"/>
      <c r="R43" s="445"/>
      <c r="S43" s="445"/>
      <c r="T43" s="445"/>
    </row>
    <row r="44" spans="1:20" ht="12.75">
      <c r="A44" s="444" t="s">
        <v>254</v>
      </c>
      <c r="B44" s="445"/>
      <c r="C44" s="445"/>
      <c r="D44" s="445"/>
      <c r="E44" s="445"/>
      <c r="F44" s="445"/>
      <c r="G44" s="445"/>
      <c r="H44" s="445"/>
      <c r="I44" s="445"/>
      <c r="J44" s="445"/>
      <c r="K44" s="445"/>
      <c r="L44" s="445"/>
      <c r="M44" s="445"/>
      <c r="N44" s="445"/>
      <c r="O44" s="445"/>
      <c r="P44" s="445"/>
      <c r="Q44" s="445"/>
      <c r="R44" s="445"/>
      <c r="S44" s="445"/>
      <c r="T44" s="445"/>
    </row>
    <row r="45" spans="1:20" ht="12.75" customHeight="1">
      <c r="A45" s="442" t="s">
        <v>202</v>
      </c>
      <c r="B45" s="443"/>
      <c r="C45" s="443"/>
      <c r="D45" s="443"/>
      <c r="E45" s="443"/>
      <c r="F45" s="443"/>
      <c r="G45" s="443"/>
      <c r="H45" s="443"/>
      <c r="I45" s="443"/>
      <c r="J45" s="443"/>
      <c r="K45" s="443"/>
      <c r="L45" s="443"/>
      <c r="M45" s="443"/>
      <c r="N45" s="443"/>
      <c r="O45" s="443"/>
      <c r="P45" s="443"/>
      <c r="Q45" s="443"/>
      <c r="R45" s="443"/>
      <c r="S45" s="443"/>
      <c r="T45" s="443"/>
    </row>
    <row r="46" spans="1:20" ht="12.75" customHeight="1">
      <c r="A46" s="442" t="s">
        <v>229</v>
      </c>
      <c r="B46" s="443"/>
      <c r="C46" s="443"/>
      <c r="D46" s="443"/>
      <c r="E46" s="443"/>
      <c r="F46" s="443"/>
      <c r="G46" s="443"/>
      <c r="H46" s="443"/>
      <c r="I46" s="443"/>
      <c r="J46" s="443"/>
      <c r="K46" s="443"/>
      <c r="L46" s="443"/>
      <c r="M46" s="443"/>
      <c r="N46" s="443"/>
      <c r="O46" s="443"/>
      <c r="P46" s="443"/>
      <c r="Q46" s="443"/>
      <c r="R46" s="443"/>
      <c r="S46" s="443"/>
      <c r="T46" s="443"/>
    </row>
    <row r="47" spans="1:20" ht="12.75" customHeight="1">
      <c r="A47" s="442" t="s">
        <v>230</v>
      </c>
      <c r="B47" s="443"/>
      <c r="C47" s="443"/>
      <c r="D47" s="443"/>
      <c r="E47" s="443"/>
      <c r="F47" s="443"/>
      <c r="G47" s="443"/>
      <c r="H47" s="443"/>
      <c r="I47" s="443"/>
      <c r="J47" s="443"/>
      <c r="K47" s="443"/>
      <c r="L47" s="443"/>
      <c r="M47" s="443"/>
      <c r="N47" s="443"/>
      <c r="O47" s="443"/>
      <c r="P47" s="443"/>
      <c r="Q47" s="443"/>
      <c r="R47" s="443"/>
      <c r="S47" s="443"/>
      <c r="T47" s="443"/>
    </row>
    <row r="48" spans="1:20" ht="12.75" customHeight="1">
      <c r="A48" s="442" t="s">
        <v>232</v>
      </c>
      <c r="B48" s="443"/>
      <c r="C48" s="443"/>
      <c r="D48" s="443"/>
      <c r="E48" s="443"/>
      <c r="F48" s="443"/>
      <c r="G48" s="443"/>
      <c r="H48" s="443"/>
      <c r="I48" s="443"/>
      <c r="J48" s="443"/>
      <c r="K48" s="443"/>
      <c r="L48" s="443"/>
      <c r="M48" s="443"/>
      <c r="N48" s="443"/>
      <c r="O48" s="443"/>
      <c r="P48" s="443"/>
      <c r="Q48" s="443"/>
      <c r="R48" s="443"/>
      <c r="S48" s="443"/>
      <c r="T48" s="443"/>
    </row>
    <row r="49" spans="1:20" ht="12.75" customHeight="1">
      <c r="A49" s="442" t="s">
        <v>257</v>
      </c>
      <c r="B49" s="443"/>
      <c r="C49" s="443"/>
      <c r="D49" s="443"/>
      <c r="E49" s="443"/>
      <c r="F49" s="443"/>
      <c r="G49" s="443"/>
      <c r="H49" s="443"/>
      <c r="I49" s="443"/>
      <c r="J49" s="443"/>
      <c r="K49" s="443"/>
      <c r="L49" s="443"/>
      <c r="M49" s="443"/>
      <c r="N49" s="443"/>
      <c r="O49" s="443"/>
      <c r="P49" s="443"/>
      <c r="Q49" s="443"/>
      <c r="R49" s="443"/>
      <c r="S49" s="443"/>
      <c r="T49" s="443"/>
    </row>
    <row r="50" spans="1:20" ht="12.75">
      <c r="A50" s="442" t="s">
        <v>386</v>
      </c>
      <c r="B50" s="443"/>
      <c r="C50" s="443"/>
      <c r="D50" s="443"/>
      <c r="E50" s="443"/>
      <c r="F50" s="443"/>
      <c r="G50" s="443"/>
      <c r="H50" s="443"/>
      <c r="I50" s="443"/>
      <c r="J50" s="443"/>
      <c r="K50" s="443"/>
      <c r="L50" s="443"/>
      <c r="M50" s="443"/>
      <c r="N50" s="443"/>
      <c r="O50" s="443"/>
      <c r="P50" s="443"/>
      <c r="Q50" s="443"/>
      <c r="R50" s="443"/>
      <c r="S50" s="443"/>
      <c r="T50" s="443"/>
    </row>
    <row r="51" spans="1:20" ht="12.75">
      <c r="A51" s="442" t="s">
        <v>387</v>
      </c>
      <c r="B51" s="443"/>
      <c r="C51" s="443"/>
      <c r="D51" s="443"/>
      <c r="E51" s="443"/>
      <c r="F51" s="443"/>
      <c r="G51" s="443"/>
      <c r="H51" s="443"/>
      <c r="I51" s="443"/>
      <c r="J51" s="443"/>
      <c r="K51" s="443"/>
      <c r="L51" s="443"/>
      <c r="M51" s="443"/>
      <c r="N51" s="443"/>
      <c r="O51" s="443"/>
      <c r="P51" s="443"/>
      <c r="Q51" s="443"/>
      <c r="R51" s="443"/>
      <c r="S51" s="443"/>
      <c r="T51" s="443"/>
    </row>
  </sheetData>
  <sheetProtection sheet="1" objects="1" scenarios="1"/>
  <mergeCells count="55">
    <mergeCell ref="A51:T51"/>
    <mergeCell ref="L31:P31"/>
    <mergeCell ref="H33:I33"/>
    <mergeCell ref="J31:K31"/>
    <mergeCell ref="H31:I31"/>
    <mergeCell ref="A49:T49"/>
    <mergeCell ref="A48:T48"/>
    <mergeCell ref="A47:T47"/>
    <mergeCell ref="A46:T46"/>
    <mergeCell ref="A39:T39"/>
    <mergeCell ref="L28:P28"/>
    <mergeCell ref="L29:P29"/>
    <mergeCell ref="L30:P30"/>
    <mergeCell ref="A50:T50"/>
    <mergeCell ref="A45:T45"/>
    <mergeCell ref="A44:T44"/>
    <mergeCell ref="A43:T43"/>
    <mergeCell ref="A42:T42"/>
    <mergeCell ref="A41:T41"/>
    <mergeCell ref="A40:T40"/>
    <mergeCell ref="A1:I1"/>
    <mergeCell ref="H27:I27"/>
    <mergeCell ref="H28:I28"/>
    <mergeCell ref="K21:L21"/>
    <mergeCell ref="A17:L17"/>
    <mergeCell ref="K22:L22"/>
    <mergeCell ref="K23:L23"/>
    <mergeCell ref="K24:L24"/>
    <mergeCell ref="K25:L25"/>
    <mergeCell ref="J11:J14"/>
    <mergeCell ref="A4:J4"/>
    <mergeCell ref="J27:K27"/>
    <mergeCell ref="J28:K28"/>
    <mergeCell ref="K4:O4"/>
    <mergeCell ref="C7:C8"/>
    <mergeCell ref="K20:L20"/>
    <mergeCell ref="J23:J24"/>
    <mergeCell ref="K19:L19"/>
    <mergeCell ref="K18:L18"/>
    <mergeCell ref="L27:P27"/>
    <mergeCell ref="A38:T38"/>
    <mergeCell ref="J29:K29"/>
    <mergeCell ref="J30:K30"/>
    <mergeCell ref="H29:I29"/>
    <mergeCell ref="H30:I30"/>
    <mergeCell ref="A37:T37"/>
    <mergeCell ref="A35:R35"/>
    <mergeCell ref="J32:K32"/>
    <mergeCell ref="J33:K33"/>
    <mergeCell ref="J34:K34"/>
    <mergeCell ref="L34:P34"/>
    <mergeCell ref="L32:P32"/>
    <mergeCell ref="H34:I34"/>
    <mergeCell ref="L33:P33"/>
    <mergeCell ref="H32:I32"/>
  </mergeCells>
  <printOptions headings="1" horizontalCentered="1"/>
  <pageMargins left="0.75" right="0.75" top="1" bottom="1" header="0.5" footer="0.5"/>
  <pageSetup fitToHeight="1" fitToWidth="1" horizontalDpi="600" verticalDpi="600" orientation="landscape" scale="51" r:id="rId5"/>
  <drawing r:id="rId3"/>
  <legacyDrawing r:id="rId2"/>
  <pictur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Industrial Economics,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iec2</dc:creator>
  <cp:keywords/>
  <dc:description/>
  <cp:lastModifiedBy> </cp:lastModifiedBy>
  <cp:lastPrinted>2008-07-14T20:58:39Z</cp:lastPrinted>
  <dcterms:created xsi:type="dcterms:W3CDTF">2006-05-12T16:48:55Z</dcterms:created>
  <dcterms:modified xsi:type="dcterms:W3CDTF">2008-11-17T21:01:47Z</dcterms:modified>
  <cp:category/>
  <cp:version/>
  <cp:contentType/>
  <cp:contentStatus/>
</cp:coreProperties>
</file>