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1400" windowHeight="6540" tabRatio="876" activeTab="5"/>
  </bookViews>
  <sheets>
    <sheet name="Cover Sheet" sheetId="1" r:id="rId1"/>
    <sheet name="Instructions" sheetId="2" r:id="rId2"/>
    <sheet name="Inputs" sheetId="3" r:id="rId3"/>
    <sheet name="Cost Calculator" sheetId="4" r:id="rId4"/>
    <sheet name="Cost Graphs" sheetId="5" r:id="rId5"/>
    <sheet name="Cost Data" sheetId="6" r:id="rId6"/>
    <sheet name="Initial Cost" sheetId="7" r:id="rId7"/>
    <sheet name="EHS Benefits" sheetId="8" r:id="rId8"/>
    <sheet name="Lookup" sheetId="9" state="hidden" r:id="rId9"/>
  </sheets>
  <definedNames>
    <definedName name="_xlnm.Print_Area" localSheetId="3">'Cost Calculator'!$A$1:$D$37</definedName>
    <definedName name="_xlnm.Print_Area" localSheetId="5">'Cost Data'!$A$1:$F$31</definedName>
    <definedName name="_xlnm.Print_Area" localSheetId="4">'Cost Graphs'!$A$1:$L$44</definedName>
    <definedName name="_xlnm.Print_Area" localSheetId="0">'Cover Sheet'!$A$1:$I$27</definedName>
    <definedName name="_xlnm.Print_Area" localSheetId="6">'Initial Cost'!$A$1:$D$18</definedName>
    <definedName name="_xlnm.Print_Area" localSheetId="2">'Inputs'!$A$1:$B$46</definedName>
    <definedName name="_xlnm.Print_Area" localSheetId="1">'Instructions'!$A$1:$I$24</definedName>
    <definedName name="_xlnm.Print_Area" localSheetId="8">'Lookup'!$A$1:$Q$13</definedName>
  </definedNames>
  <calcPr fullCalcOnLoad="1"/>
</workbook>
</file>

<file path=xl/comments3.xml><?xml version="1.0" encoding="utf-8"?>
<comments xmlns="http://schemas.openxmlformats.org/spreadsheetml/2006/main">
  <authors>
    <author>iec2</author>
  </authors>
  <commentList>
    <comment ref="B8" authorId="0">
      <text>
        <r>
          <rPr>
            <sz val="8"/>
            <rFont val="Tahoma"/>
            <family val="2"/>
          </rPr>
          <t>If your water rate is "fixed, then per gallon", the model does not add water use from applications other than irrigation towards reaching the fixed rate limit.</t>
        </r>
      </text>
    </comment>
    <comment ref="A5" authorId="0">
      <text>
        <r>
          <rPr>
            <sz val="8"/>
            <rFont val="Tahoma"/>
            <family val="2"/>
          </rPr>
          <t>Click hyperlink if you don't know how long your growing season is.  Since this website shows growing season in days, you will need to convert to months.</t>
        </r>
      </text>
    </comment>
    <comment ref="B28" authorId="0">
      <text>
        <r>
          <rPr>
            <sz val="8"/>
            <rFont val="Tahoma"/>
            <family val="2"/>
          </rPr>
          <t>The sum of the areas of the three watering zones should equal the total landscaped area from cell B4, not the total converted area from cell B27.</t>
        </r>
      </text>
    </comment>
    <comment ref="B31" authorId="0">
      <text>
        <r>
          <rPr>
            <sz val="8"/>
            <rFont val="Tahoma"/>
            <family val="2"/>
          </rPr>
          <t>The sum of the areas of each type of vegetation should equal the total landscaped area from cell B4, not the total converted area from cell B27.</t>
        </r>
      </text>
    </comment>
  </commentList>
</comments>
</file>

<file path=xl/comments4.xml><?xml version="1.0" encoding="utf-8"?>
<comments xmlns="http://schemas.openxmlformats.org/spreadsheetml/2006/main">
  <authors>
    <author>iec2</author>
  </authors>
  <commentList>
    <comment ref="C6" authorId="0">
      <text>
        <r>
          <rPr>
            <b/>
            <sz val="8"/>
            <rFont val="Tahoma"/>
            <family val="2"/>
          </rPr>
          <t>Equation Explanation</t>
        </r>
        <r>
          <rPr>
            <sz val="8"/>
            <rFont val="Tahoma"/>
            <family val="0"/>
          </rPr>
          <t xml:space="preserve">
If you do not pay for water, a value of zero will be entered into this cell.  
If you have a "fixed" monthly rate, this rate will be multiplied by 12 to determine your annual rate.  
If you have a "per gallon" monthly rate that is measured in dollars per 1000 gallons, then the amount of water you use will be divided by 1000 and that number will be multiplied by your rate per 1000 gallons.
If your rate is "fixed, then per gallon" then the calculator will sum the total fixed cost with the additional cost of any water that goes over the limit at which the per gallon rate begins.  If the amount of water that you use for irrigation annually is less than or equal to the product of the limit at which the per gallon rate begins and the length of the growing season, then no additional cost will be assumed because the amount of water used on irrigation will not exceed the limit for any month.  If the amount of water used for irrigation annually is greater than the product of the limit at which the per gallon rate begins and the length of the growing season, however, the calculator will add the additional cost of the per gallon rate to the total fixed rate.  This is done by multiplying the amount of water used over the limit (in thousands of gallons) by the per gallon rate.</t>
        </r>
      </text>
    </comment>
    <comment ref="B23" authorId="0">
      <text>
        <r>
          <rPr>
            <sz val="8"/>
            <rFont val="Tahoma"/>
            <family val="2"/>
          </rPr>
          <t>If the rebate exceeds the initial cost, the net initial cost will be zero.</t>
        </r>
      </text>
    </comment>
  </commentList>
</comments>
</file>

<file path=xl/sharedStrings.xml><?xml version="1.0" encoding="utf-8"?>
<sst xmlns="http://schemas.openxmlformats.org/spreadsheetml/2006/main" count="230" uniqueCount="167">
  <si>
    <r>
      <t>Water Bill</t>
    </r>
    <r>
      <rPr>
        <sz val="10"/>
        <rFont val="Arial"/>
        <family val="0"/>
      </rPr>
      <t>.  If you do not pay for water, answer "no" in the first drop-down box and move on to the next step.  If you do pay for water, indicate the type of rate you have.  A fixed rate charges a constant amount every month, regardless of how much water you use.  A per gallon rate charges per volume of water used, usually per 1000 gallons.  A fixed, then per gallon, rate charges a minimum fee and then an incremental charge based on the volume of water used.  After selecting your rate, fill in the blue cells indicated with your rate information.  Depending on what rate type you choose, some cells may not need to be filled in.</t>
    </r>
  </si>
  <si>
    <r>
      <t>Landscape Maintenance.</t>
    </r>
    <r>
      <rPr>
        <sz val="10"/>
        <rFont val="Arial"/>
        <family val="0"/>
      </rPr>
      <t xml:space="preserve">  Select who maintains your landscape from the drop-down box.  If it maintained by an onsite employee, you can move on to the next step.  If it is maintained by a private firm, fill in travel time and the frequency of visits.</t>
    </r>
  </si>
  <si>
    <r>
      <t xml:space="preserve">Government Rebate.  </t>
    </r>
    <r>
      <rPr>
        <sz val="10"/>
        <rFont val="Arial"/>
        <family val="2"/>
      </rPr>
      <t>Some</t>
    </r>
    <r>
      <rPr>
        <b/>
        <sz val="10"/>
        <rFont val="Arial"/>
        <family val="2"/>
      </rPr>
      <t xml:space="preserve"> </t>
    </r>
    <r>
      <rPr>
        <sz val="10"/>
        <rFont val="Arial"/>
        <family val="2"/>
      </rPr>
      <t xml:space="preserve">local governments offer rebates for converting conventional landscapes to water saving landscapes.  If your site is eligible for a rebate, enter "yes" into the drop-down box and fill in the blue cells with the rebate amount. If not, enter "no" into the drop-down box and proceed to the next step. </t>
    </r>
  </si>
  <si>
    <r>
      <t xml:space="preserve">Current Landscape.  </t>
    </r>
    <r>
      <rPr>
        <sz val="10"/>
        <rFont val="Arial"/>
        <family val="0"/>
      </rPr>
      <t>Fill in all of the blue cells for the configuration of your landscape.  The regular watering zone is  the area that is watered between 4 and 8 times per month during the growing season.  The occasional watering zone is the area that is watered between 1 and 3 times per month during the growing season.  The natural rainfall zone is the area that is never watered.  You can change irrigation frequency for the regular and occasional watering zones on the Cost Data tab if you think a different irrigation frequency would be more appropriate.</t>
    </r>
  </si>
  <si>
    <r>
      <t>EPA encourages users to investigate how different proposed retrofits</t>
    </r>
    <r>
      <rPr>
        <sz val="10"/>
        <rFont val="Arial"/>
        <family val="2"/>
      </rPr>
      <t xml:space="preserve"> affect water usage and cost.  The largest single determinant of water usage is the percentage of your landscape moved from the regular watering zone to the natural rainfall zone.  A major cost driver is the area of flowers converted to shrubs and trees.</t>
    </r>
  </si>
  <si>
    <t>Sources</t>
  </si>
  <si>
    <t>Data Explanation</t>
  </si>
  <si>
    <t>Please direct questions or comments on this Cost Calculator to: Jean Schwab, U.S. EPA GreenScapes Program Manager, schwab.jean@epa.gov or 703-308-8669.</t>
  </si>
  <si>
    <t>Initial Cost</t>
  </si>
  <si>
    <t>Rebate</t>
  </si>
  <si>
    <t>3 Year Cost</t>
  </si>
  <si>
    <t>6 Year Cost</t>
  </si>
  <si>
    <t>10 Year Cost</t>
  </si>
  <si>
    <t>Government Rebate</t>
  </si>
  <si>
    <t>Water Saving Retrofit</t>
  </si>
  <si>
    <t>Water Saving Landscape</t>
  </si>
  <si>
    <t>Total Landscape Area (Sq. Feet)</t>
  </si>
  <si>
    <t>Inputs</t>
  </si>
  <si>
    <t>Your Water Bill</t>
  </si>
  <si>
    <t>Your Current Landscape</t>
  </si>
  <si>
    <t>Inches to Gallons/Sq. Foot Conversion Factor</t>
  </si>
  <si>
    <t>Inches of Water Per Irrigation</t>
  </si>
  <si>
    <t>Gallons of Water Per Square Foot Per Irrigation</t>
  </si>
  <si>
    <t>Value</t>
  </si>
  <si>
    <t>High Estimate</t>
  </si>
  <si>
    <t>Low Estimate</t>
  </si>
  <si>
    <t>High Cost Estimate</t>
  </si>
  <si>
    <t>Gallons of Water Used Annually</t>
  </si>
  <si>
    <t>Low Cost Estimate</t>
  </si>
  <si>
    <t>Irrigation Requirements</t>
  </si>
  <si>
    <t>Water Data</t>
  </si>
  <si>
    <t>Maintenance Data</t>
  </si>
  <si>
    <t>Turf Maintenance Base Cost</t>
  </si>
  <si>
    <t>Base Visit Cost for Private Landscaping Firms</t>
  </si>
  <si>
    <t>Units</t>
  </si>
  <si>
    <t>$/Sq. Foot</t>
  </si>
  <si>
    <t>Turf Maintenance Additional Cost</t>
  </si>
  <si>
    <t>$/Visit/Hour Traveled</t>
  </si>
  <si>
    <t>Flower Bed Maintenance Cost</t>
  </si>
  <si>
    <t>Profit for Private Landscaping Firms</t>
  </si>
  <si>
    <t>% of Total Cost</t>
  </si>
  <si>
    <t>Irrigations/Month</t>
  </si>
  <si>
    <t>Regular Watering Zone</t>
  </si>
  <si>
    <t>Occasional Watering Zone</t>
  </si>
  <si>
    <t>Natural Rainfall Zone</t>
  </si>
  <si>
    <t>Annual Turf Maintenance Cost</t>
  </si>
  <si>
    <t>Annual Turf Maintenance</t>
  </si>
  <si>
    <t>Annual Shrub and Ground Cover Maintenance</t>
  </si>
  <si>
    <t>Annual Tree Maintenance</t>
  </si>
  <si>
    <t>An onsite employee</t>
  </si>
  <si>
    <t>Annual Flower Bed Maintenance</t>
  </si>
  <si>
    <r>
      <t xml:space="preserve">Wade, Gary L. and Winans, Elizabeth.  </t>
    </r>
    <r>
      <rPr>
        <i/>
        <sz val="10"/>
        <rFont val="Arial"/>
        <family val="2"/>
      </rPr>
      <t>Hort Management 6.0.</t>
    </r>
    <r>
      <rPr>
        <sz val="10"/>
        <rFont val="Arial"/>
        <family val="2"/>
      </rPr>
      <t xml:space="preserve"> Department of Horticulture. The University of Georgia. 2005.</t>
    </r>
  </si>
  <si>
    <t>Conversion Cost</t>
  </si>
  <si>
    <t>Planning, Materials and Installation Cost</t>
  </si>
  <si>
    <t>Landscape Firm's Travel Cost</t>
  </si>
  <si>
    <t>Landscape Firm's Profit</t>
  </si>
  <si>
    <t>Converting to a water saving landscape:</t>
  </si>
  <si>
    <r>
      <t xml:space="preserve">Retards erosion </t>
    </r>
    <r>
      <rPr>
        <sz val="10"/>
        <rFont val="Arial"/>
        <family val="2"/>
      </rPr>
      <t>because reducing runoff can retard erosion, depending on the surrounding landscape.</t>
    </r>
  </si>
  <si>
    <t xml:space="preserve"> </t>
  </si>
  <si>
    <t>Based on the size of the project, the Cost Calculator tab estimates the initial, 3 year, 6 year, 10 year, and average annual costs for your original landscape and a water saving retrofit.  To use the Cost Calculator, fill in the blue cells on the "Inputs" tab.</t>
  </si>
  <si>
    <t>The EHS Benefits tab provides a summary of the environmental, health, and safety benefits of converting to a water saving landscape.</t>
  </si>
  <si>
    <t>This source states that one gallon of water applied to one square foot is equivalent to 1.6 inches of rain.</t>
  </si>
  <si>
    <r>
      <t xml:space="preserve">Watering Wisely: Irrigation Ideas to Help You Save Water &amp; Money. </t>
    </r>
    <r>
      <rPr>
        <sz val="10"/>
        <rFont val="Arial"/>
        <family val="2"/>
      </rPr>
      <t>City of Sarasota Public Works Department. Sept. 5, 2006. &lt;www.sarasotagov.com/LivingInSarasota/Contents/PublicWorks/PWPDFFiles/WaterBrochure.pdf&gt;</t>
    </r>
  </si>
  <si>
    <t>Conventional Landscape</t>
  </si>
  <si>
    <r>
      <t xml:space="preserve">Low: </t>
    </r>
    <r>
      <rPr>
        <i/>
        <sz val="10"/>
        <rFont val="Arial"/>
        <family val="2"/>
      </rPr>
      <t xml:space="preserve">Key Factors for Profitable Mowing. </t>
    </r>
    <r>
      <rPr>
        <sz val="10"/>
        <rFont val="Arial"/>
        <family val="2"/>
      </rPr>
      <t>Landscape Management. Sept. 1, 2005.http://landscapemanagement.net/landscape/article/articleDetail.jsp?id=183177
High: Wade, Gary L. Personal communication. August 18, 2006.</t>
    </r>
  </si>
  <si>
    <t>Averages</t>
  </si>
  <si>
    <t>Tree and Shrub Pruning Cost</t>
  </si>
  <si>
    <t>$/Sq. Foot/Year</t>
  </si>
  <si>
    <t>$/Sq. Foot/Year/Month of grow season</t>
  </si>
  <si>
    <t>How many times do you currently prune your trees per year?</t>
  </si>
  <si>
    <t>How many times do you currently prune your shrubs per year?</t>
  </si>
  <si>
    <t>*This graph is generated using the average of the high and low cost estimates for each type of landscape.</t>
  </si>
  <si>
    <t>How long is your growing season (in months)?</t>
  </si>
  <si>
    <t>Does your facility pay for water?</t>
  </si>
  <si>
    <t>Does your local government offer a rebate for converting to a water saving landscape?</t>
  </si>
  <si>
    <t>This source states that a good volume of water per irrigation is between 2/3 and 3/4 of an inch.  These two values were averaged.</t>
  </si>
  <si>
    <t>Converting your landscape to a water saving landscape makes environmental and economic sense.</t>
  </si>
  <si>
    <r>
      <t>Conserves fossil fuels</t>
    </r>
    <r>
      <rPr>
        <sz val="10"/>
        <rFont val="Arial"/>
        <family val="2"/>
      </rPr>
      <t xml:space="preserve"> because minimizing turf grasses and lawns reduces the need for mowing and trimming, and associated fuel use to power mowers and trimmers. </t>
    </r>
  </si>
  <si>
    <r>
      <t xml:space="preserve">Conserves water </t>
    </r>
    <r>
      <rPr>
        <sz val="10"/>
        <rFont val="Arial"/>
        <family val="2"/>
      </rPr>
      <t>because water saving landscapes require less irrigation than conventional turfs and flowers.</t>
    </r>
  </si>
  <si>
    <r>
      <t xml:space="preserve">Supports local ecology </t>
    </r>
    <r>
      <rPr>
        <sz val="10"/>
        <rFont val="Arial"/>
        <family val="2"/>
      </rPr>
      <t>because water saving plants are often native plants, which are uniquely adapted to the local ecosystem, and are better suited than non-native plants to support local flora and fauna, and to resist drought and disease.</t>
    </r>
  </si>
  <si>
    <t xml:space="preserve">Net Initial Cost </t>
  </si>
  <si>
    <t>Area in Regular Watering Zone (Sq. Feet)</t>
  </si>
  <si>
    <t>Area in Occasional Watering Zone (Sq. Feet)</t>
  </si>
  <si>
    <t>Area in Natural Rainfall Zone (Sq. Feet)</t>
  </si>
  <si>
    <t>Area of Flower Beds (Sq. Feet)</t>
  </si>
  <si>
    <t>Area of Turf (Sq. Feet)</t>
  </si>
  <si>
    <t>Area of Shrubs and Ground Cover (Sq. Feet)</t>
  </si>
  <si>
    <t>Area of Trees Outside Shrub Area (Sq. Feet)</t>
  </si>
  <si>
    <t>Per Gallon</t>
  </si>
  <si>
    <t>Does your facility pay for water</t>
  </si>
  <si>
    <t>Yes</t>
  </si>
  <si>
    <t>No</t>
  </si>
  <si>
    <t>What type of rates do you have</t>
  </si>
  <si>
    <t>Fixed</t>
  </si>
  <si>
    <t>Fixed then per gallon</t>
  </si>
  <si>
    <t>inputs - b8 cell</t>
  </si>
  <si>
    <t>inputs - b9 cell</t>
  </si>
  <si>
    <t>inputs - b14 cell</t>
  </si>
  <si>
    <t>Who Maintains Your Landscape?</t>
  </si>
  <si>
    <t>A private landscaping firm</t>
  </si>
  <si>
    <r>
      <t xml:space="preserve">Water Resources Engineering, Inc. </t>
    </r>
    <r>
      <rPr>
        <i/>
        <sz val="10"/>
        <rFont val="Arial"/>
        <family val="2"/>
      </rPr>
      <t>Overview of Retrofit Strategies: A Guide for Apartment Owners and Managers.</t>
    </r>
    <r>
      <rPr>
        <sz val="10"/>
        <rFont val="Arial"/>
        <family val="2"/>
      </rPr>
      <t xml:space="preserve">  May 2002. p. 10. &lt;www.huduser.org/publications/pdf/Book1.pdf&gt;.</t>
    </r>
  </si>
  <si>
    <t>The high source states that the maximum amount of water that turf needs is 1.5 inches per week.  This number was multiplied by 4 to derive 6 inches per month.  6 inches per month was divided by .71 inches of water per irrigation to arrive at 8.45, which was rounded to 8.</t>
  </si>
  <si>
    <t>Although the source states that plants in the occasional watering zone should be watered every 2 to 3 weeks, we have expanded the range to between 1 and 3 times per month to make sure all watering ranges are covered in th calculator.</t>
  </si>
  <si>
    <t>Do you receive a government rebate</t>
  </si>
  <si>
    <t>Annual Maintenance Cost</t>
  </si>
  <si>
    <t>inputs - b39 cell</t>
  </si>
  <si>
    <t xml:space="preserve">Who maintains your facility's landscape?
</t>
  </si>
  <si>
    <t>Shrub Maintenance Cost Without Pruning</t>
  </si>
  <si>
    <t>Do you pay a per weight rate for yard waste?</t>
  </si>
  <si>
    <t>inputs - b43 cell</t>
  </si>
  <si>
    <t>Yard Waste Disposal</t>
  </si>
  <si>
    <t>Annual Water Maintenance and Disposal Cost</t>
  </si>
  <si>
    <t>Annual Yard Waste Disposal Cost</t>
  </si>
  <si>
    <t>Overall, what is the area of your landscape would be converted to a more water saving zone? (e.g. from regular to occasional or natural, and from occasional to natural) (Sq. Feet)</t>
  </si>
  <si>
    <t>How many times would you prune these shrubs per year?</t>
  </si>
  <si>
    <t>How many times would you prune these trees per year?</t>
  </si>
  <si>
    <t>Current Landscape Maintenance</t>
  </si>
  <si>
    <t>General Information</t>
  </si>
  <si>
    <t>Landscape Contractor's Profit</t>
  </si>
  <si>
    <t>Landscape Contractor's Travel Cost</t>
  </si>
  <si>
    <r>
      <t xml:space="preserve">In order to calculate high and low maintenance estimates, we used the inputs from this model for "well maintained landscapes" and a "minimally maintained landscapes".
To develop a site-specific estimate based on </t>
    </r>
    <r>
      <rPr>
        <sz val="10"/>
        <color indexed="10"/>
        <rFont val="Arial"/>
        <family val="2"/>
      </rPr>
      <t>specific flowers, turf, shrubs, and trees</t>
    </r>
    <r>
      <rPr>
        <sz val="10"/>
        <rFont val="Arial"/>
        <family val="0"/>
      </rPr>
      <t xml:space="preserve"> on your site, the most recent version of </t>
    </r>
    <r>
      <rPr>
        <i/>
        <sz val="10"/>
        <rFont val="Arial"/>
        <family val="2"/>
      </rPr>
      <t>Hort Management</t>
    </r>
    <r>
      <rPr>
        <sz val="10"/>
        <rFont val="Arial"/>
        <family val="2"/>
      </rPr>
      <t xml:space="preserve"> can be purchased online at: http://pubs.caes.uga.edu/caespubs/hortmanage.htm or from:
Professional Grounds Management Society
720 Light Street
Baltimore, MD 21230-3816</t>
    </r>
  </si>
  <si>
    <t>This sheet is for programming use only.  Please do not use.</t>
  </si>
  <si>
    <t>Low Estimate ($/Sq. Foot)</t>
  </si>
  <si>
    <t>High Estimate ($/Sq. Foot)</t>
  </si>
  <si>
    <t>Inflation Adjustment Table</t>
  </si>
  <si>
    <t>One Dollar in…</t>
  </si>
  <si>
    <t>Equals this many 2006 Dollars</t>
  </si>
  <si>
    <r>
      <t>Source:</t>
    </r>
    <r>
      <rPr>
        <i/>
        <sz val="10"/>
        <color indexed="51"/>
        <rFont val="Arial"/>
        <family val="2"/>
      </rPr>
      <t xml:space="preserve"> CPI Inflation Calculator.</t>
    </r>
    <r>
      <rPr>
        <sz val="10"/>
        <color indexed="51"/>
        <rFont val="Arial"/>
        <family val="2"/>
      </rPr>
      <t xml:space="preserve"> &lt;http://data.bls.gov/cgi-bin/cpicalc.pl&gt;</t>
    </r>
  </si>
  <si>
    <t>This source estimated that most conversions cost between two and four dollars.  The initial cost is highly variable depending on project size and complexity.  Larger, less complex projects tend to be less expensive per square foot.</t>
  </si>
  <si>
    <t>This is the result of a survey conducted by the SNWA on 87 residential conversions.  The average conversion area of this survey was 1306 sq. feet.</t>
  </si>
  <si>
    <t>Average</t>
  </si>
  <si>
    <t>See additional "Initial Cost" worksheet</t>
  </si>
  <si>
    <t>Do you pay for yard waste disposal by quantity?</t>
  </si>
  <si>
    <t>Do you pay by weight or volume?</t>
  </si>
  <si>
    <t>Weight</t>
  </si>
  <si>
    <t>Volume</t>
  </si>
  <si>
    <t>inputs - b44 cell</t>
  </si>
  <si>
    <t xml:space="preserve">To use the Cost Calculator, you will need to have information on the configuration of your current landscape, including the proportion that is comprised of flowers, turf, shrubs, and ground cover.  You will need to know the length of the growing season in your region, which can be found at: http://www.warnercnr.colostate.edu/avprojects/globe/phenology/images/layout_growing.jpg.  </t>
  </si>
  <si>
    <t>Tree Maintenance Cost Without Pruning</t>
  </si>
  <si>
    <t>Kent Sovocool, Senior Conservation Research Analyst, Southern Nevada Water Authority.  Personal Communication.  Sept. 15, 2006.</t>
  </si>
  <si>
    <t>Data Provided by Kent Sovocool, Senior Conservation Research Analyst, Southern Nevada Water Authority (SNWA). Sept. 15, 2006.</t>
  </si>
  <si>
    <t>These values reflect averages of multiple data sources.</t>
  </si>
  <si>
    <t>In the Otay Water District in southern California, the cost of water saving retrofits for homeowner associations was between $1.14 and $2.97 per square foot.</t>
  </si>
  <si>
    <r>
      <t>Reduces runoff</t>
    </r>
    <r>
      <rPr>
        <sz val="10"/>
        <rFont val="Arial"/>
        <family val="2"/>
      </rPr>
      <t xml:space="preserve"> because water-wise landscaping requires grouping turf areas and plants according to water needs, which reduces runoff losses.</t>
    </r>
  </si>
  <si>
    <t xml:space="preserve">In the Cost Data tab, EPA provides national averages or ranges of costs.  Cost data collected from sources dated before 2006 are adjusted for inflation. If you prefer, you can substitute your own cost data into the green cells.  If you have a single cost estimate instead of a range, enter it in both the Low Cost Estimate and High Cost Estimate cells.  Because the initial costs of a landscaping retrofit are greatly dependent on individual site decisions, EPA encourages users to assess the suitability of initial cost data for their site.  </t>
  </si>
  <si>
    <r>
      <t>Reduces waste/demand for landfill space</t>
    </r>
    <r>
      <rPr>
        <sz val="10"/>
        <rFont val="Arial"/>
        <family val="2"/>
      </rPr>
      <t xml:space="preserve"> because water saving plants are often slow growing,  especially compared to conventional turf grasses, creating less waste and reducing landfill demand in areas that landfill green waste.</t>
    </r>
  </si>
  <si>
    <r>
      <t xml:space="preserve">To start, click on the </t>
    </r>
    <r>
      <rPr>
        <b/>
        <sz val="10"/>
        <rFont val="Arial"/>
        <family val="2"/>
      </rPr>
      <t>Inputs tab</t>
    </r>
    <r>
      <rPr>
        <sz val="10"/>
        <rFont val="Arial"/>
        <family val="0"/>
      </rPr>
      <t xml:space="preserve"> at the bottom of the spreadsheet.</t>
    </r>
  </si>
  <si>
    <r>
      <t xml:space="preserve">View the </t>
    </r>
    <r>
      <rPr>
        <b/>
        <sz val="10"/>
        <rFont val="Arial"/>
        <family val="2"/>
      </rPr>
      <t>Cost Calculator</t>
    </r>
    <r>
      <rPr>
        <sz val="10"/>
        <rFont val="Arial"/>
        <family val="2"/>
      </rPr>
      <t xml:space="preserve"> and </t>
    </r>
    <r>
      <rPr>
        <b/>
        <sz val="10"/>
        <rFont val="Arial"/>
        <family val="2"/>
      </rPr>
      <t>Cost Graphs</t>
    </r>
    <r>
      <rPr>
        <sz val="10"/>
        <rFont val="Arial"/>
        <family val="2"/>
      </rPr>
      <t xml:space="preserve"> tabs to view the costs associated with each landscape.</t>
    </r>
  </si>
  <si>
    <r>
      <t xml:space="preserve">Yard Waste.  </t>
    </r>
    <r>
      <rPr>
        <sz val="10"/>
        <rFont val="Arial"/>
        <family val="2"/>
      </rPr>
      <t>If you do not pay for yard waste removal, enter "no" into the drop-down box and proceed to the next step.  If you do pay for yard waste removal, enter "yes" into the drop-down box, indicate whether you pay by weight or volume, and fill in the subsequent blue cells with information on waste quantities.</t>
    </r>
  </si>
  <si>
    <r>
      <t>After entering inputs, click on the</t>
    </r>
    <r>
      <rPr>
        <b/>
        <sz val="10"/>
        <rFont val="Arial"/>
        <family val="2"/>
      </rPr>
      <t xml:space="preserve"> Cost Data </t>
    </r>
    <r>
      <rPr>
        <sz val="10"/>
        <rFont val="Arial"/>
        <family val="2"/>
      </rPr>
      <t>tab at the bottom of the spreadsheet.  If you have your own cost data, you can enter it into the green cells.  Otherwise, leave the green cells as they are.</t>
    </r>
  </si>
  <si>
    <r>
      <t xml:space="preserve">Instructions  </t>
    </r>
    <r>
      <rPr>
        <b/>
        <i/>
        <sz val="10"/>
        <rFont val="Arial"/>
        <family val="2"/>
      </rPr>
      <t xml:space="preserve">(You may want to print these.)     </t>
    </r>
    <r>
      <rPr>
        <b/>
        <sz val="10"/>
        <rFont val="Arial"/>
        <family val="2"/>
      </rPr>
      <t xml:space="preserve">                                                                                             </t>
    </r>
  </si>
  <si>
    <r>
      <t xml:space="preserve">General Information.  </t>
    </r>
    <r>
      <rPr>
        <sz val="10"/>
        <rFont val="Arial"/>
        <family val="2"/>
      </rPr>
      <t>The l</t>
    </r>
    <r>
      <rPr>
        <sz val="10"/>
        <rFont val="Arial"/>
        <family val="0"/>
      </rPr>
      <t>andscaped area includes all vegetated or mulched areas of your property.  Decks, driveways, patios, gazebos, and other hardscapes are not included in this area.  If you do not know the length of the growing season at your site, click on the hyperlink for a reference map.</t>
    </r>
  </si>
  <si>
    <r>
      <t xml:space="preserve">Water Saving Retrofit.  </t>
    </r>
    <r>
      <rPr>
        <sz val="10"/>
        <rFont val="Arial"/>
        <family val="0"/>
      </rPr>
      <t>Fill in the blue cells for the configuration of your retrofit.  If you do not have a particular retrofit in mind yet, fill in realistic values for now (you can go back later and change numbers to see how different decisions drive water savings and cost).  Bear in mind that water saving landscapes generally consist of high proportions of shrubs and trees and low proportions of flowers and turf.   Converting vegetation to pavement, patios, or other hardscapes is not an option provided, as converting landscaped areas to impervious surfaces is generally not considered to be an environmentally preferable practice.  In terms of the schedule for pruning trees and shrubs, note that drought resistant varieties will grow slower and require less maintenance.</t>
    </r>
  </si>
  <si>
    <t>Annual Water Cost Due to Irrigation</t>
  </si>
  <si>
    <t>Landscape Irrigation Formulas.  Oct. 3, 2006. &lt;http://www.irrigationtutorials.com/formulas.htm&gt;</t>
  </si>
  <si>
    <r>
      <t xml:space="preserve">Granger, William A. </t>
    </r>
    <r>
      <rPr>
        <i/>
        <sz val="10"/>
        <rFont val="Arial"/>
        <family val="2"/>
      </rPr>
      <t xml:space="preserve">Cash for Plants: Encouraging Homeowners and Homeowner Associations to Remove Unused Turf areas. </t>
    </r>
    <r>
      <rPr>
        <sz val="10"/>
        <rFont val="Arial"/>
        <family val="2"/>
      </rPr>
      <t xml:space="preserve"> Feb. 7, 2006.</t>
    </r>
  </si>
  <si>
    <t xml:space="preserve">This Cost Calculator is designed to estimate the cost of converting your current landscape to one that requires less irrigation and produces less waste by replacing trees, turf, shrubs, and flowers that require more irrigation and grow faster with varieties that require less irrigation and grow slower.  The Cost Calculator demonstrates that converting to a water saving landscape is often cost competetive.  Although the initial cost of converting a landscape is significant, it is an investment that often leads to net cost savings over time from lower water bills and lower landscaping maintenance costs. </t>
  </si>
  <si>
    <r>
      <t>Reduces air pollution and improves air quality</t>
    </r>
    <r>
      <rPr>
        <sz val="10"/>
        <rFont val="Arial"/>
        <family val="2"/>
      </rPr>
      <t xml:space="preserve"> because minimizing turf grass reduces the need for mowing and associated air emissions.</t>
    </r>
  </si>
  <si>
    <t>Resource Conserving Landscaping</t>
  </si>
  <si>
    <t>Resource Conserving Landscaping Cost Calculator</t>
  </si>
  <si>
    <t>Resource Conserving Landscaping Cost Graphs</t>
  </si>
  <si>
    <t>Resource Conserving Landscaping Cost Data</t>
  </si>
  <si>
    <t>Resource Conserving Landscaping Initial Cost</t>
  </si>
  <si>
    <t>Resource Conserving Landscaping Environmental, Health and Safety Benefits</t>
  </si>
  <si>
    <t>You will also need to divide your landscape into three zones:  a regular watering zone, an occasional watering zone, and a natural rainfall (or zero watering) zone.  Information on watering zones can be found at: http://agnewsarchive.tamu.edu/drought/drghtpak98/drght52.html.  The calculator defines the regular watering zone as an area that is watered four to eight times per month during the growing season; the occasional watering zone is an area watered between one and three times per month during the growing season; and the natural rainfall zone is an area that is never watered.  Irrigation frequency for the three zones can be changed in the Cost Data tab if you have site-specific data.</t>
  </si>
  <si>
    <r>
      <t>All Plants Have a Place in Xeriscape Landscapes</t>
    </r>
    <r>
      <rPr>
        <sz val="10"/>
        <rFont val="Arial"/>
        <family val="2"/>
      </rPr>
      <t>. Sept. 5, 2006. &lt;http://agnewsarchive.tamu.edu/drought/drghtpak98/drght52.html&gt;.</t>
    </r>
  </si>
  <si>
    <r>
      <t>Low: All Plants Have a Place in Xeriscape Landscapes</t>
    </r>
    <r>
      <rPr>
        <sz val="10"/>
        <rFont val="Arial"/>
        <family val="2"/>
      </rPr>
      <t xml:space="preserve">. Sept. 5, 2006. &lt;http://agnewsarchive.tamu.edu/drought/drghtpak98/drght52.html&gt;.
High: </t>
    </r>
    <r>
      <rPr>
        <i/>
        <sz val="10"/>
        <rFont val="Arial"/>
        <family val="2"/>
      </rPr>
      <t>Watering Lawns the Right Way.</t>
    </r>
    <r>
      <rPr>
        <sz val="10"/>
        <rFont val="Arial"/>
        <family val="2"/>
      </rPr>
      <t xml:space="preserve">  University of Illinois Extension. Accessed on Sept. 6, 2006.  &lt;http://www.urbanext.uiuc.edu/lawnchallenge/lesson4.html&gt;.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</si>
</sst>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
    <numFmt numFmtId="169" formatCode="#,##0.0"/>
    <numFmt numFmtId="170" formatCode="#,##0.000"/>
    <numFmt numFmtId="171" formatCode="&quot;$&quot;#,##0.000"/>
    <numFmt numFmtId="172" formatCode="0.0"/>
    <numFmt numFmtId="173" formatCode="#,##0.0000"/>
    <numFmt numFmtId="174" formatCode="#,##0.00000"/>
  </numFmts>
  <fonts count="28">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9"/>
      <name val="Arial"/>
      <family val="2"/>
    </font>
    <font>
      <sz val="10"/>
      <color indexed="10"/>
      <name val="Arial"/>
      <family val="2"/>
    </font>
    <font>
      <sz val="10.25"/>
      <name val="Arial"/>
      <family val="2"/>
    </font>
    <font>
      <sz val="16.75"/>
      <name val="Arial"/>
      <family val="0"/>
    </font>
    <font>
      <b/>
      <sz val="11.75"/>
      <name val="Arial"/>
      <family val="2"/>
    </font>
    <font>
      <sz val="11.75"/>
      <name val="Arial"/>
      <family val="2"/>
    </font>
    <font>
      <sz val="12"/>
      <name val="Arial"/>
      <family val="2"/>
    </font>
    <font>
      <b/>
      <sz val="16"/>
      <name val="Arial"/>
      <family val="2"/>
    </font>
    <font>
      <sz val="8"/>
      <name val="Tahoma"/>
      <family val="0"/>
    </font>
    <font>
      <sz val="17.5"/>
      <name val="Arial"/>
      <family val="0"/>
    </font>
    <font>
      <sz val="11.25"/>
      <name val="Arial"/>
      <family val="2"/>
    </font>
    <font>
      <sz val="10"/>
      <color indexed="17"/>
      <name val="Arial"/>
      <family val="2"/>
    </font>
    <font>
      <b/>
      <sz val="12"/>
      <name val="Arial"/>
      <family val="2"/>
    </font>
    <font>
      <b/>
      <i/>
      <sz val="10"/>
      <name val="Arial"/>
      <family val="2"/>
    </font>
    <font>
      <b/>
      <sz val="8"/>
      <name val="Tahoma"/>
      <family val="2"/>
    </font>
    <font>
      <b/>
      <sz val="10"/>
      <color indexed="10"/>
      <name val="Arial"/>
      <family val="2"/>
    </font>
    <font>
      <b/>
      <sz val="10"/>
      <color indexed="17"/>
      <name val="Arial"/>
      <family val="2"/>
    </font>
    <font>
      <i/>
      <sz val="10"/>
      <color indexed="51"/>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s>
  <borders count="24">
    <border>
      <left/>
      <right/>
      <top/>
      <bottom/>
      <diagonal/>
    </border>
    <border>
      <left style="thin"/>
      <right>
        <color indexed="63"/>
      </right>
      <top>
        <color indexed="63"/>
      </top>
      <bottom>
        <color indexed="63"/>
      </bottom>
    </border>
    <border>
      <left style="thin"/>
      <right style="thin"/>
      <top style="thin"/>
      <bottom style="thin"/>
    </border>
    <border>
      <left style="thick">
        <color indexed="38"/>
      </left>
      <right>
        <color indexed="63"/>
      </right>
      <top>
        <color indexed="63"/>
      </top>
      <bottom>
        <color indexed="63"/>
      </bottom>
    </border>
    <border>
      <left>
        <color indexed="63"/>
      </left>
      <right style="thick">
        <color indexed="3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color indexed="38"/>
      </left>
      <right>
        <color indexed="63"/>
      </right>
      <top style="thick">
        <color indexed="38"/>
      </top>
      <bottom>
        <color indexed="63"/>
      </bottom>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ck">
        <color indexed="38"/>
      </left>
      <right>
        <color indexed="63"/>
      </right>
      <top>
        <color indexed="63"/>
      </top>
      <bottom style="thick">
        <color indexed="38"/>
      </bottom>
    </border>
    <border>
      <left>
        <color indexed="63"/>
      </left>
      <right>
        <color indexed="63"/>
      </right>
      <top>
        <color indexed="63"/>
      </top>
      <bottom style="thick">
        <color indexed="38"/>
      </bottom>
    </border>
    <border>
      <left>
        <color indexed="63"/>
      </left>
      <right style="thick">
        <color indexed="38"/>
      </right>
      <top>
        <color indexed="63"/>
      </top>
      <bottom style="thick">
        <color indexed="3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5">
    <xf numFmtId="0" fontId="0" fillId="0" borderId="0" xfId="0" applyAlignment="1">
      <alignment/>
    </xf>
    <xf numFmtId="0" fontId="5" fillId="0" borderId="0" xfId="0" applyFont="1" applyAlignment="1">
      <alignment/>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2" borderId="1" xfId="0" applyFill="1" applyBorder="1" applyAlignment="1" applyProtection="1">
      <alignment horizontal="left"/>
      <protection/>
    </xf>
    <xf numFmtId="0" fontId="0" fillId="2" borderId="2" xfId="0" applyFill="1" applyBorder="1" applyAlignment="1" applyProtection="1">
      <alignment horizontal="right" wrapText="1"/>
      <protection/>
    </xf>
    <xf numFmtId="0" fontId="0" fillId="2" borderId="2" xfId="0" applyFill="1" applyBorder="1" applyAlignment="1" applyProtection="1">
      <alignment horizontal="left" wrapText="1"/>
      <protection/>
    </xf>
    <xf numFmtId="0" fontId="4" fillId="2" borderId="2" xfId="0" applyFont="1" applyFill="1" applyBorder="1" applyAlignment="1" applyProtection="1">
      <alignment horizontal="left" wrapText="1"/>
      <protection/>
    </xf>
    <xf numFmtId="0" fontId="0" fillId="3" borderId="0" xfId="0" applyFill="1" applyBorder="1" applyAlignment="1" applyProtection="1">
      <alignment horizontal="left" wrapText="1" indent="1"/>
      <protection/>
    </xf>
    <xf numFmtId="0" fontId="8" fillId="4" borderId="0" xfId="0" applyFont="1" applyFill="1" applyAlignment="1" applyProtection="1">
      <alignment horizontal="left"/>
      <protection/>
    </xf>
    <xf numFmtId="0" fontId="8" fillId="4" borderId="0" xfId="0" applyFont="1" applyFill="1" applyAlignment="1" applyProtection="1">
      <alignment horizontal="left" wrapText="1"/>
      <protection/>
    </xf>
    <xf numFmtId="0" fontId="0" fillId="3" borderId="0" xfId="0" applyFill="1" applyBorder="1" applyAlignment="1" applyProtection="1">
      <alignment horizontal="left" indent="1"/>
      <protection/>
    </xf>
    <xf numFmtId="0" fontId="0" fillId="3" borderId="0" xfId="0" applyFill="1" applyBorder="1" applyAlignment="1">
      <alignment horizontal="left" indent="1"/>
    </xf>
    <xf numFmtId="0" fontId="0" fillId="3" borderId="0" xfId="0" applyFill="1" applyBorder="1" applyAlignment="1">
      <alignment horizontal="left" wrapText="1" indent="1"/>
    </xf>
    <xf numFmtId="0" fontId="5" fillId="3" borderId="0" xfId="0" applyFont="1" applyFill="1" applyBorder="1" applyAlignment="1">
      <alignment horizontal="left" wrapText="1" indent="1"/>
    </xf>
    <xf numFmtId="0" fontId="1" fillId="3" borderId="3" xfId="0" applyFont="1" applyFill="1" applyBorder="1" applyAlignment="1">
      <alignment horizontal="left" indent="1"/>
    </xf>
    <xf numFmtId="0" fontId="0" fillId="3" borderId="4" xfId="0" applyFill="1" applyBorder="1" applyAlignment="1">
      <alignment horizontal="left" indent="1"/>
    </xf>
    <xf numFmtId="0" fontId="1" fillId="3" borderId="3" xfId="0" applyFont="1" applyFill="1" applyBorder="1" applyAlignment="1">
      <alignment horizontal="left" wrapText="1" indent="1"/>
    </xf>
    <xf numFmtId="0" fontId="0" fillId="3" borderId="4" xfId="0" applyFill="1" applyBorder="1" applyAlignment="1">
      <alignment horizontal="left" wrapText="1" indent="1"/>
    </xf>
    <xf numFmtId="0" fontId="5" fillId="3" borderId="4" xfId="0" applyFont="1" applyFill="1" applyBorder="1" applyAlignment="1">
      <alignment horizontal="left" wrapText="1" indent="1"/>
    </xf>
    <xf numFmtId="0" fontId="0" fillId="3" borderId="5" xfId="0" applyFill="1" applyBorder="1" applyAlignment="1" applyProtection="1">
      <alignment horizontal="left" indent="1"/>
      <protection/>
    </xf>
    <xf numFmtId="0" fontId="0" fillId="3" borderId="6" xfId="0" applyFill="1" applyBorder="1" applyAlignment="1" applyProtection="1">
      <alignment horizontal="left" indent="1"/>
      <protection/>
    </xf>
    <xf numFmtId="0" fontId="0" fillId="3" borderId="1" xfId="0" applyFill="1" applyBorder="1" applyAlignment="1" applyProtection="1">
      <alignment horizontal="left" indent="1"/>
      <protection/>
    </xf>
    <xf numFmtId="0" fontId="0" fillId="3" borderId="7" xfId="0" applyFill="1" applyBorder="1" applyAlignment="1" applyProtection="1">
      <alignment horizontal="left" indent="1"/>
      <protection/>
    </xf>
    <xf numFmtId="0" fontId="0" fillId="3" borderId="1" xfId="0" applyFill="1" applyBorder="1" applyAlignment="1" applyProtection="1">
      <alignment horizontal="left" wrapText="1" indent="1"/>
      <protection/>
    </xf>
    <xf numFmtId="0" fontId="0" fillId="3" borderId="7" xfId="0" applyFill="1" applyBorder="1" applyAlignment="1" applyProtection="1">
      <alignment horizontal="left" wrapText="1" indent="1"/>
      <protection/>
    </xf>
    <xf numFmtId="0" fontId="0" fillId="3" borderId="3" xfId="0" applyFont="1" applyFill="1" applyBorder="1" applyAlignment="1">
      <alignment horizontal="left" wrapText="1" indent="1"/>
    </xf>
    <xf numFmtId="0" fontId="8" fillId="4" borderId="8" xfId="0" applyFont="1" applyFill="1" applyBorder="1" applyAlignment="1" applyProtection="1">
      <alignment horizontal="left"/>
      <protection/>
    </xf>
    <xf numFmtId="0" fontId="0" fillId="2" borderId="9" xfId="0" applyFill="1" applyBorder="1" applyAlignment="1" applyProtection="1">
      <alignment horizontal="left"/>
      <protection/>
    </xf>
    <xf numFmtId="0" fontId="0" fillId="0" borderId="0" xfId="0" applyAlignment="1">
      <alignment/>
    </xf>
    <xf numFmtId="0" fontId="0" fillId="2" borderId="1" xfId="0" applyFont="1" applyFill="1" applyBorder="1" applyAlignment="1" applyProtection="1">
      <alignment horizontal="left"/>
      <protection/>
    </xf>
    <xf numFmtId="0" fontId="0" fillId="0" borderId="0" xfId="0" applyFill="1" applyAlignment="1" applyProtection="1">
      <alignment horizontal="right"/>
      <protection/>
    </xf>
    <xf numFmtId="0" fontId="0" fillId="2" borderId="10" xfId="0" applyFont="1" applyFill="1" applyBorder="1" applyAlignment="1" applyProtection="1">
      <alignment horizontal="left"/>
      <protection/>
    </xf>
    <xf numFmtId="0" fontId="8" fillId="4" borderId="10" xfId="0" applyFont="1" applyFill="1" applyBorder="1" applyAlignment="1" applyProtection="1">
      <alignment horizontal="left"/>
      <protection/>
    </xf>
    <xf numFmtId="0" fontId="1" fillId="2" borderId="10" xfId="0" applyFont="1" applyFill="1" applyBorder="1" applyAlignment="1" applyProtection="1">
      <alignment horizontal="left"/>
      <protection/>
    </xf>
    <xf numFmtId="0" fontId="0" fillId="0" borderId="0" xfId="0" applyBorder="1" applyAlignment="1" applyProtection="1">
      <alignment/>
      <protection/>
    </xf>
    <xf numFmtId="0" fontId="1" fillId="2" borderId="8" xfId="0" applyFont="1" applyFill="1" applyBorder="1" applyAlignment="1" applyProtection="1">
      <alignment horizontal="left"/>
      <protection/>
    </xf>
    <xf numFmtId="0" fontId="0" fillId="2" borderId="10" xfId="0" applyFill="1" applyBorder="1" applyAlignment="1" applyProtection="1">
      <alignment horizontal="left"/>
      <protection/>
    </xf>
    <xf numFmtId="0" fontId="7" fillId="2" borderId="11" xfId="0" applyFont="1" applyFill="1" applyBorder="1" applyAlignment="1" applyProtection="1">
      <alignment horizontal="right"/>
      <protection/>
    </xf>
    <xf numFmtId="0" fontId="0" fillId="0" borderId="0" xfId="0" applyFill="1" applyBorder="1" applyAlignment="1" applyProtection="1">
      <alignment horizontal="right" wrapText="1"/>
      <protection/>
    </xf>
    <xf numFmtId="0" fontId="4"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6" fillId="0" borderId="0" xfId="0" applyFont="1" applyAlignment="1" applyProtection="1">
      <alignment/>
      <protection/>
    </xf>
    <xf numFmtId="0" fontId="0" fillId="2" borderId="10" xfId="0" applyFont="1" applyFill="1" applyBorder="1" applyAlignment="1" applyProtection="1">
      <alignment horizontal="left" wrapText="1"/>
      <protection/>
    </xf>
    <xf numFmtId="0" fontId="0" fillId="2" borderId="1" xfId="0" applyFont="1" applyFill="1" applyBorder="1" applyAlignment="1" applyProtection="1">
      <alignment horizontal="left" wrapText="1"/>
      <protection/>
    </xf>
    <xf numFmtId="0" fontId="0" fillId="2" borderId="1" xfId="0" applyFont="1" applyFill="1" applyBorder="1" applyAlignment="1" applyProtection="1">
      <alignment/>
      <protection/>
    </xf>
    <xf numFmtId="0" fontId="4" fillId="2" borderId="1" xfId="0" applyFont="1" applyFill="1" applyBorder="1" applyAlignment="1" applyProtection="1">
      <alignment horizontal="left"/>
      <protection/>
    </xf>
    <xf numFmtId="0" fontId="4" fillId="2" borderId="9" xfId="0" applyFont="1" applyFill="1" applyBorder="1" applyAlignment="1" applyProtection="1">
      <alignment horizontal="left"/>
      <protection/>
    </xf>
    <xf numFmtId="3" fontId="0" fillId="2" borderId="6" xfId="0" applyNumberFormat="1" applyFill="1" applyBorder="1" applyAlignment="1" applyProtection="1">
      <alignment horizontal="center"/>
      <protection/>
    </xf>
    <xf numFmtId="0" fontId="10" fillId="0" borderId="0" xfId="0" applyFont="1" applyFill="1" applyAlignment="1">
      <alignment/>
    </xf>
    <xf numFmtId="3" fontId="0" fillId="2" borderId="6" xfId="0" applyNumberFormat="1" applyFont="1" applyFill="1" applyBorder="1" applyAlignment="1" applyProtection="1">
      <alignment horizontal="center"/>
      <protection/>
    </xf>
    <xf numFmtId="0" fontId="8" fillId="4" borderId="12" xfId="0" applyFont="1" applyFill="1" applyBorder="1" applyAlignment="1" applyProtection="1">
      <alignment horizontal="center"/>
      <protection/>
    </xf>
    <xf numFmtId="3" fontId="0" fillId="2" borderId="5" xfId="0" applyNumberFormat="1" applyFont="1" applyFill="1" applyBorder="1" applyAlignment="1" applyProtection="1">
      <alignment horizontal="center"/>
      <protection/>
    </xf>
    <xf numFmtId="3" fontId="0" fillId="2" borderId="5" xfId="0" applyNumberFormat="1" applyFill="1" applyBorder="1" applyAlignment="1" applyProtection="1">
      <alignment horizontal="center"/>
      <protection/>
    </xf>
    <xf numFmtId="0" fontId="0" fillId="2" borderId="2" xfId="0" applyFont="1" applyFill="1" applyBorder="1" applyAlignment="1" applyProtection="1">
      <alignment horizontal="right" wrapText="1"/>
      <protection/>
    </xf>
    <xf numFmtId="0" fontId="1" fillId="2" borderId="8" xfId="0" applyFont="1" applyFill="1" applyBorder="1" applyAlignment="1" applyProtection="1">
      <alignment horizontal="left" wrapText="1"/>
      <protection/>
    </xf>
    <xf numFmtId="0" fontId="10" fillId="0" borderId="0" xfId="0" applyFont="1" applyFill="1" applyAlignment="1" applyProtection="1">
      <alignment horizontal="left" wrapText="1"/>
      <protection/>
    </xf>
    <xf numFmtId="0" fontId="8" fillId="4" borderId="11" xfId="0" applyFont="1" applyFill="1" applyBorder="1" applyAlignment="1" applyProtection="1">
      <alignment horizontal="center"/>
      <protection/>
    </xf>
    <xf numFmtId="0" fontId="8" fillId="4" borderId="5" xfId="0" applyFont="1" applyFill="1" applyBorder="1" applyAlignment="1" applyProtection="1">
      <alignment horizontal="center"/>
      <protection/>
    </xf>
    <xf numFmtId="168" fontId="0" fillId="2" borderId="0" xfId="0" applyNumberFormat="1" applyFill="1" applyBorder="1" applyAlignment="1" applyProtection="1">
      <alignment horizontal="center"/>
      <protection/>
    </xf>
    <xf numFmtId="168" fontId="0" fillId="2" borderId="7" xfId="0" applyNumberFormat="1" applyFill="1" applyBorder="1" applyAlignment="1" applyProtection="1">
      <alignment horizontal="center"/>
      <protection/>
    </xf>
    <xf numFmtId="168" fontId="0" fillId="2" borderId="0" xfId="0" applyNumberFormat="1" applyFont="1" applyFill="1" applyBorder="1" applyAlignment="1" applyProtection="1">
      <alignment horizontal="center"/>
      <protection/>
    </xf>
    <xf numFmtId="168" fontId="0" fillId="2" borderId="7" xfId="0" applyNumberFormat="1" applyFont="1" applyFill="1" applyBorder="1" applyAlignment="1" applyProtection="1">
      <alignment horizontal="center"/>
      <protection/>
    </xf>
    <xf numFmtId="168" fontId="0" fillId="2" borderId="5" xfId="0" applyNumberFormat="1" applyFont="1" applyFill="1" applyBorder="1" applyAlignment="1" applyProtection="1">
      <alignment horizontal="center"/>
      <protection/>
    </xf>
    <xf numFmtId="168" fontId="0" fillId="2" borderId="6" xfId="0" applyNumberFormat="1" applyFont="1" applyFill="1" applyBorder="1" applyAlignment="1" applyProtection="1">
      <alignment horizontal="center"/>
      <protection/>
    </xf>
    <xf numFmtId="168" fontId="0" fillId="2" borderId="5" xfId="0" applyNumberFormat="1" applyFill="1" applyBorder="1" applyAlignment="1" applyProtection="1">
      <alignment horizontal="center"/>
      <protection/>
    </xf>
    <xf numFmtId="168" fontId="0" fillId="2" borderId="6" xfId="0" applyNumberFormat="1" applyFill="1" applyBorder="1" applyAlignment="1" applyProtection="1">
      <alignment horizontal="center"/>
      <protection/>
    </xf>
    <xf numFmtId="168" fontId="4" fillId="2" borderId="0" xfId="0" applyNumberFormat="1" applyFont="1" applyFill="1" applyBorder="1" applyAlignment="1" applyProtection="1">
      <alignment horizontal="center"/>
      <protection/>
    </xf>
    <xf numFmtId="168" fontId="4" fillId="2" borderId="7" xfId="0" applyNumberFormat="1" applyFont="1" applyFill="1" applyBorder="1" applyAlignment="1" applyProtection="1">
      <alignment horizontal="center"/>
      <protection/>
    </xf>
    <xf numFmtId="168" fontId="4" fillId="2" borderId="13" xfId="0" applyNumberFormat="1" applyFont="1" applyFill="1" applyBorder="1" applyAlignment="1" applyProtection="1">
      <alignment horizontal="center"/>
      <protection/>
    </xf>
    <xf numFmtId="168" fontId="4" fillId="2" borderId="14" xfId="0" applyNumberFormat="1" applyFont="1" applyFill="1" applyBorder="1" applyAlignment="1" applyProtection="1">
      <alignment horizontal="center"/>
      <protection/>
    </xf>
    <xf numFmtId="0" fontId="0" fillId="2" borderId="2" xfId="0" applyFont="1" applyFill="1" applyBorder="1" applyAlignment="1" applyProtection="1">
      <alignment horizontal="left" wrapText="1"/>
      <protection/>
    </xf>
    <xf numFmtId="0" fontId="0" fillId="2" borderId="8" xfId="0" applyFill="1" applyBorder="1" applyAlignment="1" applyProtection="1">
      <alignment horizontal="left" wrapText="1"/>
      <protection/>
    </xf>
    <xf numFmtId="0" fontId="8" fillId="4" borderId="0" xfId="0" applyFont="1" applyFill="1" applyAlignment="1" applyProtection="1">
      <alignment/>
      <protection/>
    </xf>
    <xf numFmtId="0" fontId="2" fillId="0" borderId="0" xfId="20" applyFont="1" applyAlignment="1" applyProtection="1">
      <alignment/>
      <protection/>
    </xf>
    <xf numFmtId="164" fontId="0" fillId="3" borderId="2" xfId="0" applyNumberFormat="1" applyFill="1" applyBorder="1" applyAlignment="1" applyProtection="1">
      <alignment horizontal="right" wrapText="1"/>
      <protection locked="0"/>
    </xf>
    <xf numFmtId="171" fontId="0" fillId="3" borderId="2" xfId="0" applyNumberFormat="1" applyFill="1" applyBorder="1" applyAlignment="1" applyProtection="1">
      <alignment horizontal="right" wrapText="1"/>
      <protection locked="0"/>
    </xf>
    <xf numFmtId="9" fontId="0" fillId="3" borderId="2" xfId="0" applyNumberFormat="1" applyFill="1" applyBorder="1" applyAlignment="1" applyProtection="1">
      <alignment horizontal="right" wrapText="1"/>
      <protection locked="0"/>
    </xf>
    <xf numFmtId="0" fontId="10" fillId="0" borderId="0" xfId="0" applyFont="1" applyAlignment="1" applyProtection="1">
      <alignment horizontal="left"/>
      <protection/>
    </xf>
    <xf numFmtId="0" fontId="0" fillId="0" borderId="0" xfId="0" applyAlignment="1" applyProtection="1">
      <alignment/>
      <protection/>
    </xf>
    <xf numFmtId="0" fontId="0" fillId="5" borderId="6"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1" fontId="0" fillId="5" borderId="7" xfId="0" applyNumberFormat="1" applyFont="1" applyFill="1" applyBorder="1" applyAlignment="1" applyProtection="1">
      <alignment horizontal="center"/>
      <protection locked="0"/>
    </xf>
    <xf numFmtId="164" fontId="0" fillId="5" borderId="7" xfId="0" applyNumberFormat="1" applyFill="1" applyBorder="1" applyAlignment="1" applyProtection="1">
      <alignment horizontal="center"/>
      <protection locked="0"/>
    </xf>
    <xf numFmtId="4" fontId="0" fillId="0" borderId="0" xfId="0" applyNumberFormat="1" applyFill="1" applyBorder="1" applyAlignment="1" applyProtection="1">
      <alignment horizontal="right" wrapText="1"/>
      <protection/>
    </xf>
    <xf numFmtId="0" fontId="0" fillId="0" borderId="5" xfId="0" applyFont="1" applyFill="1" applyBorder="1" applyAlignment="1" applyProtection="1">
      <alignment/>
      <protection/>
    </xf>
    <xf numFmtId="4" fontId="0" fillId="3" borderId="2" xfId="0" applyNumberFormat="1" applyFill="1" applyBorder="1" applyAlignment="1" applyProtection="1">
      <alignment horizontal="right" wrapText="1"/>
      <protection locked="0"/>
    </xf>
    <xf numFmtId="3" fontId="0" fillId="3" borderId="2" xfId="0" applyNumberFormat="1" applyFill="1" applyBorder="1" applyAlignment="1" applyProtection="1">
      <alignment horizontal="right" wrapText="1"/>
      <protection locked="0"/>
    </xf>
    <xf numFmtId="0" fontId="0" fillId="2" borderId="2" xfId="0" applyFont="1" applyFill="1" applyBorder="1" applyAlignment="1" applyProtection="1">
      <alignment wrapText="1"/>
      <protection/>
    </xf>
    <xf numFmtId="0" fontId="0" fillId="2" borderId="2" xfId="20" applyFont="1" applyFill="1" applyBorder="1" applyAlignment="1" applyProtection="1">
      <alignment horizontal="left" wrapText="1"/>
      <protection/>
    </xf>
    <xf numFmtId="0" fontId="20" fillId="0" borderId="0" xfId="0" applyFont="1" applyAlignment="1" applyProtection="1">
      <alignment horizontal="right"/>
      <protection/>
    </xf>
    <xf numFmtId="168" fontId="20" fillId="0" borderId="0" xfId="0" applyNumberFormat="1" applyFont="1" applyAlignment="1" applyProtection="1">
      <alignment horizontal="right"/>
      <protection/>
    </xf>
    <xf numFmtId="3" fontId="20" fillId="0" borderId="0" xfId="0" applyNumberFormat="1" applyFont="1" applyAlignment="1" applyProtection="1">
      <alignment horizontal="right"/>
      <protection/>
    </xf>
    <xf numFmtId="0" fontId="9" fillId="0" borderId="0" xfId="0" applyFont="1" applyAlignment="1" applyProtection="1">
      <alignment horizontal="left"/>
      <protection/>
    </xf>
    <xf numFmtId="1" fontId="0" fillId="5" borderId="14" xfId="0" applyNumberFormat="1" applyFill="1" applyBorder="1" applyAlignment="1" applyProtection="1">
      <alignment horizontal="center"/>
      <protection locked="0"/>
    </xf>
    <xf numFmtId="1" fontId="0" fillId="5" borderId="6" xfId="0" applyNumberFormat="1" applyFill="1" applyBorder="1" applyAlignment="1" applyProtection="1">
      <alignment horizontal="center"/>
      <protection locked="0"/>
    </xf>
    <xf numFmtId="0" fontId="22" fillId="2" borderId="10" xfId="0" applyFont="1" applyFill="1" applyBorder="1" applyAlignment="1" applyProtection="1">
      <alignment horizontal="left"/>
      <protection/>
    </xf>
    <xf numFmtId="168" fontId="22" fillId="2" borderId="5" xfId="0" applyNumberFormat="1" applyFont="1" applyFill="1" applyBorder="1" applyAlignment="1" applyProtection="1">
      <alignment horizontal="center"/>
      <protection/>
    </xf>
    <xf numFmtId="0" fontId="22" fillId="2" borderId="1" xfId="0" applyFont="1" applyFill="1" applyBorder="1" applyAlignment="1" applyProtection="1">
      <alignment horizontal="left"/>
      <protection/>
    </xf>
    <xf numFmtId="168" fontId="22" fillId="2" borderId="0" xfId="0" applyNumberFormat="1" applyFont="1" applyFill="1" applyBorder="1" applyAlignment="1" applyProtection="1">
      <alignment horizontal="center"/>
      <protection/>
    </xf>
    <xf numFmtId="168" fontId="22" fillId="2" borderId="7" xfId="0" applyNumberFormat="1" applyFont="1" applyFill="1" applyBorder="1" applyAlignment="1" applyProtection="1">
      <alignment horizontal="center"/>
      <protection/>
    </xf>
    <xf numFmtId="0" fontId="22" fillId="2" borderId="9" xfId="0" applyFont="1" applyFill="1" applyBorder="1" applyAlignment="1" applyProtection="1">
      <alignment horizontal="left"/>
      <protection/>
    </xf>
    <xf numFmtId="168" fontId="22" fillId="2" borderId="13" xfId="0" applyNumberFormat="1" applyFont="1" applyFill="1" applyBorder="1" applyAlignment="1" applyProtection="1">
      <alignment horizontal="center"/>
      <protection/>
    </xf>
    <xf numFmtId="168" fontId="22" fillId="2" borderId="14" xfId="0" applyNumberFormat="1" applyFont="1" applyFill="1" applyBorder="1" applyAlignment="1" applyProtection="1">
      <alignment horizontal="center"/>
      <protection/>
    </xf>
    <xf numFmtId="0" fontId="4" fillId="2" borderId="10" xfId="0" applyFont="1" applyFill="1" applyBorder="1" applyAlignment="1" applyProtection="1">
      <alignment horizontal="left"/>
      <protection/>
    </xf>
    <xf numFmtId="168" fontId="4" fillId="2" borderId="5" xfId="0" applyNumberFormat="1" applyFont="1" applyFill="1" applyBorder="1" applyAlignment="1" applyProtection="1">
      <alignment horizontal="center"/>
      <protection/>
    </xf>
    <xf numFmtId="168" fontId="4" fillId="2" borderId="6" xfId="0" applyNumberFormat="1" applyFont="1" applyFill="1" applyBorder="1" applyAlignment="1" applyProtection="1">
      <alignment horizontal="center"/>
      <protection/>
    </xf>
    <xf numFmtId="3" fontId="0" fillId="2" borderId="2" xfId="0" applyNumberFormat="1" applyFont="1" applyFill="1" applyBorder="1" applyAlignment="1" applyProtection="1">
      <alignment horizontal="right" wrapText="1"/>
      <protection/>
    </xf>
    <xf numFmtId="0" fontId="1" fillId="0" borderId="10" xfId="0" applyFont="1" applyBorder="1" applyAlignment="1">
      <alignment/>
    </xf>
    <xf numFmtId="0" fontId="0" fillId="0" borderId="1" xfId="0" applyBorder="1" applyAlignment="1">
      <alignment/>
    </xf>
    <xf numFmtId="0" fontId="0" fillId="0" borderId="0" xfId="0" applyBorder="1" applyAlignment="1">
      <alignment/>
    </xf>
    <xf numFmtId="0" fontId="0" fillId="0" borderId="7" xfId="0" applyBorder="1" applyAlignment="1">
      <alignment/>
    </xf>
    <xf numFmtId="0" fontId="0" fillId="0" borderId="9" xfId="0" applyBorder="1" applyAlignment="1">
      <alignment/>
    </xf>
    <xf numFmtId="0" fontId="0" fillId="0" borderId="13" xfId="0" applyBorder="1" applyAlignment="1">
      <alignment/>
    </xf>
    <xf numFmtId="0" fontId="0" fillId="0" borderId="14" xfId="0" applyBorder="1" applyAlignment="1">
      <alignment/>
    </xf>
    <xf numFmtId="0" fontId="0" fillId="0" borderId="9" xfId="0" applyBorder="1" applyAlignment="1">
      <alignment wrapText="1"/>
    </xf>
    <xf numFmtId="0" fontId="0" fillId="0" borderId="5" xfId="0" applyBorder="1" applyAlignment="1">
      <alignment/>
    </xf>
    <xf numFmtId="0" fontId="0" fillId="0" borderId="6" xfId="0" applyBorder="1" applyAlignment="1">
      <alignment/>
    </xf>
    <xf numFmtId="0" fontId="20" fillId="0" borderId="0" xfId="0" applyFont="1" applyAlignment="1" applyProtection="1">
      <alignment horizontal="left"/>
      <protection/>
    </xf>
    <xf numFmtId="0" fontId="9" fillId="0" borderId="0" xfId="0" applyFont="1" applyAlignment="1" applyProtection="1">
      <alignment horizontal="left" wrapText="1"/>
      <protection/>
    </xf>
    <xf numFmtId="0" fontId="0" fillId="0" borderId="0" xfId="0" applyFont="1" applyAlignment="1">
      <alignment horizontal="left" wrapText="1"/>
    </xf>
    <xf numFmtId="164" fontId="0" fillId="5" borderId="7" xfId="0" applyNumberFormat="1" applyFont="1" applyFill="1" applyBorder="1" applyAlignment="1" applyProtection="1">
      <alignment horizontal="center"/>
      <protection locked="0"/>
    </xf>
    <xf numFmtId="1" fontId="0" fillId="5" borderId="14" xfId="0" applyNumberFormat="1" applyFont="1" applyFill="1" applyBorder="1" applyAlignment="1" applyProtection="1">
      <alignment horizontal="center"/>
      <protection locked="0"/>
    </xf>
    <xf numFmtId="0" fontId="0" fillId="5" borderId="6" xfId="0" applyFont="1" applyFill="1" applyBorder="1" applyAlignment="1" applyProtection="1">
      <alignment horizontal="right"/>
      <protection locked="0"/>
    </xf>
    <xf numFmtId="0" fontId="0" fillId="5" borderId="7" xfId="0" applyFont="1" applyFill="1" applyBorder="1" applyAlignment="1" applyProtection="1">
      <alignment horizontal="center"/>
      <protection locked="0"/>
    </xf>
    <xf numFmtId="0" fontId="0" fillId="5" borderId="11" xfId="0" applyFill="1" applyBorder="1" applyAlignment="1" applyProtection="1">
      <alignment horizontal="center" wrapText="1"/>
      <protection locked="0"/>
    </xf>
    <xf numFmtId="0" fontId="0" fillId="5" borderId="7"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4" xfId="0" applyFill="1" applyBorder="1" applyAlignment="1" applyProtection="1">
      <alignment horizontal="center"/>
      <protection locked="0"/>
    </xf>
    <xf numFmtId="168" fontId="0" fillId="5" borderId="7" xfId="0" applyNumberFormat="1" applyFill="1" applyBorder="1" applyAlignment="1" applyProtection="1">
      <alignment horizontal="center"/>
      <protection locked="0"/>
    </xf>
    <xf numFmtId="0" fontId="1" fillId="2" borderId="8" xfId="0" applyFont="1" applyFill="1" applyBorder="1" applyAlignment="1" applyProtection="1">
      <alignment/>
      <protection/>
    </xf>
    <xf numFmtId="0" fontId="1" fillId="0" borderId="0" xfId="0" applyFont="1" applyAlignment="1">
      <alignment/>
    </xf>
    <xf numFmtId="0" fontId="1" fillId="0" borderId="1" xfId="0" applyFont="1" applyBorder="1" applyAlignment="1">
      <alignment/>
    </xf>
    <xf numFmtId="0" fontId="0" fillId="2" borderId="1" xfId="0" applyFill="1" applyBorder="1" applyAlignment="1" applyProtection="1">
      <alignment horizontal="left" wrapText="1"/>
      <protection/>
    </xf>
    <xf numFmtId="0" fontId="0" fillId="2" borderId="9" xfId="0" applyFill="1" applyBorder="1" applyAlignment="1" applyProtection="1">
      <alignment horizontal="left" wrapText="1"/>
      <protection/>
    </xf>
    <xf numFmtId="0" fontId="4" fillId="2" borderId="8" xfId="0" applyFont="1" applyFill="1" applyBorder="1" applyAlignment="1" applyProtection="1">
      <alignment horizontal="left"/>
      <protection/>
    </xf>
    <xf numFmtId="164" fontId="4" fillId="2" borderId="12" xfId="0" applyNumberFormat="1" applyFont="1" applyFill="1" applyBorder="1" applyAlignment="1" applyProtection="1">
      <alignment horizontal="center"/>
      <protection/>
    </xf>
    <xf numFmtId="0" fontId="8" fillId="4" borderId="13" xfId="0" applyFont="1" applyFill="1" applyBorder="1" applyAlignment="1" applyProtection="1">
      <alignment horizontal="left" wrapText="1"/>
      <protection/>
    </xf>
    <xf numFmtId="164" fontId="4" fillId="2" borderId="11" xfId="0" applyNumberFormat="1" applyFont="1" applyFill="1" applyBorder="1" applyAlignment="1" applyProtection="1">
      <alignment horizontal="center"/>
      <protection/>
    </xf>
    <xf numFmtId="0" fontId="8" fillId="4" borderId="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3" fontId="0" fillId="0" borderId="0" xfId="0" applyNumberFormat="1" applyFont="1" applyFill="1" applyBorder="1" applyAlignment="1" applyProtection="1">
      <alignment horizontal="right" wrapText="1"/>
      <protection/>
    </xf>
    <xf numFmtId="0" fontId="0" fillId="0" borderId="0" xfId="0" applyFill="1" applyBorder="1" applyAlignment="1" applyProtection="1">
      <alignment/>
      <protection/>
    </xf>
    <xf numFmtId="0" fontId="0" fillId="0" borderId="0" xfId="0" applyFont="1" applyFill="1" applyBorder="1" applyAlignment="1" applyProtection="1">
      <alignment horizontal="right" wrapText="1"/>
      <protection/>
    </xf>
    <xf numFmtId="0" fontId="0" fillId="0" borderId="0" xfId="20" applyFont="1" applyFill="1" applyBorder="1" applyAlignment="1" applyProtection="1">
      <alignment horizontal="left" wrapText="1"/>
      <protection/>
    </xf>
    <xf numFmtId="164" fontId="0" fillId="2" borderId="2" xfId="0" applyNumberFormat="1" applyFont="1" applyFill="1" applyBorder="1" applyAlignment="1" applyProtection="1">
      <alignment horizontal="right" wrapText="1"/>
      <protection/>
    </xf>
    <xf numFmtId="164" fontId="0" fillId="2" borderId="2" xfId="0" applyNumberFormat="1" applyFill="1" applyBorder="1" applyAlignment="1" applyProtection="1">
      <alignment horizontal="right" wrapText="1"/>
      <protection/>
    </xf>
    <xf numFmtId="0" fontId="20" fillId="4" borderId="0" xfId="0" applyFont="1" applyFill="1" applyAlignment="1" applyProtection="1">
      <alignment horizontal="left"/>
      <protection/>
    </xf>
    <xf numFmtId="0" fontId="20" fillId="4" borderId="13" xfId="0" applyFont="1" applyFill="1" applyBorder="1" applyAlignment="1" applyProtection="1">
      <alignment horizontal="left" wrapText="1"/>
      <protection/>
    </xf>
    <xf numFmtId="0" fontId="0" fillId="2" borderId="2" xfId="0" applyFill="1" applyBorder="1" applyAlignment="1" applyProtection="1">
      <alignment horizontal="center"/>
      <protection/>
    </xf>
    <xf numFmtId="164" fontId="0" fillId="2" borderId="12" xfId="0" applyNumberFormat="1" applyFill="1" applyBorder="1" applyAlignment="1" applyProtection="1">
      <alignment horizontal="center"/>
      <protection/>
    </xf>
    <xf numFmtId="0" fontId="7" fillId="0" borderId="0" xfId="0" applyFont="1" applyAlignment="1" applyProtection="1">
      <alignment/>
      <protection/>
    </xf>
    <xf numFmtId="4" fontId="1" fillId="2" borderId="2" xfId="0" applyNumberFormat="1" applyFont="1" applyFill="1" applyBorder="1" applyAlignment="1" applyProtection="1">
      <alignment horizontal="right" wrapText="1"/>
      <protection/>
    </xf>
    <xf numFmtId="0" fontId="1" fillId="2" borderId="2"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0" fontId="0" fillId="2" borderId="2" xfId="0" applyFill="1" applyBorder="1" applyAlignment="1" applyProtection="1">
      <alignment wrapText="1"/>
      <protection/>
    </xf>
    <xf numFmtId="0" fontId="1" fillId="0" borderId="15" xfId="0" applyFont="1" applyBorder="1" applyAlignment="1">
      <alignment/>
    </xf>
    <xf numFmtId="0" fontId="0" fillId="0" borderId="16" xfId="0" applyBorder="1" applyAlignment="1">
      <alignment/>
    </xf>
    <xf numFmtId="0" fontId="0" fillId="0" borderId="0" xfId="0" applyFill="1" applyBorder="1" applyAlignment="1" applyProtection="1">
      <alignment horizontal="left"/>
      <protection/>
    </xf>
    <xf numFmtId="0" fontId="8" fillId="4" borderId="0" xfId="0" applyFont="1" applyFill="1" applyBorder="1" applyAlignment="1" applyProtection="1">
      <alignment horizontal="left"/>
      <protection/>
    </xf>
    <xf numFmtId="164" fontId="0" fillId="2" borderId="11" xfId="0" applyNumberFormat="1" applyFill="1" applyBorder="1" applyAlignment="1" applyProtection="1">
      <alignment horizontal="center"/>
      <protection/>
    </xf>
    <xf numFmtId="0" fontId="20" fillId="4" borderId="13" xfId="0" applyFont="1" applyFill="1" applyBorder="1" applyAlignment="1" applyProtection="1">
      <alignment horizontal="left"/>
      <protection/>
    </xf>
    <xf numFmtId="0" fontId="8" fillId="4" borderId="0" xfId="0" applyFont="1" applyFill="1" applyBorder="1" applyAlignment="1" applyProtection="1">
      <alignment/>
      <protection/>
    </xf>
    <xf numFmtId="0" fontId="8" fillId="4" borderId="13" xfId="0" applyFont="1" applyFill="1" applyBorder="1" applyAlignment="1" applyProtection="1">
      <alignment horizontal="left"/>
      <protection/>
    </xf>
    <xf numFmtId="0" fontId="8" fillId="4" borderId="13" xfId="0" applyFont="1" applyFill="1" applyBorder="1" applyAlignment="1" applyProtection="1">
      <alignment/>
      <protection/>
    </xf>
    <xf numFmtId="0" fontId="0" fillId="2" borderId="6" xfId="0" applyFont="1" applyFill="1" applyBorder="1" applyAlignment="1" applyProtection="1">
      <alignment horizontal="center"/>
      <protection locked="0"/>
    </xf>
    <xf numFmtId="1" fontId="0" fillId="2" borderId="11" xfId="0" applyNumberFormat="1" applyFont="1" applyFill="1" applyBorder="1" applyAlignment="1" applyProtection="1">
      <alignment horizontal="center"/>
      <protection locked="0"/>
    </xf>
    <xf numFmtId="0" fontId="0" fillId="2" borderId="11" xfId="0" applyFont="1" applyFill="1" applyBorder="1" applyAlignment="1" applyProtection="1">
      <alignment horizontal="right"/>
      <protection locked="0"/>
    </xf>
    <xf numFmtId="0" fontId="0" fillId="2" borderId="11" xfId="0" applyFont="1" applyFill="1" applyBorder="1" applyAlignment="1" applyProtection="1">
      <alignment/>
      <protection locked="0"/>
    </xf>
    <xf numFmtId="0" fontId="0" fillId="5" borderId="7" xfId="0" applyFont="1" applyFill="1" applyBorder="1" applyAlignment="1" applyProtection="1">
      <alignment horizontal="right"/>
      <protection locked="0"/>
    </xf>
    <xf numFmtId="0" fontId="0" fillId="0" borderId="17" xfId="0" applyBorder="1" applyAlignment="1" applyProtection="1">
      <alignment/>
      <protection locked="0"/>
    </xf>
    <xf numFmtId="164" fontId="0" fillId="0" borderId="0" xfId="0" applyNumberFormat="1" applyFill="1" applyBorder="1" applyAlignment="1" applyProtection="1">
      <alignment horizontal="right" wrapText="1"/>
      <protection/>
    </xf>
    <xf numFmtId="171" fontId="0" fillId="0" borderId="0" xfId="0" applyNumberFormat="1" applyFill="1" applyBorder="1" applyAlignment="1" applyProtection="1">
      <alignment horizontal="right" wrapText="1"/>
      <protection/>
    </xf>
    <xf numFmtId="168" fontId="0" fillId="0" borderId="0" xfId="0" applyNumberFormat="1" applyFill="1" applyBorder="1" applyAlignment="1" applyProtection="1">
      <alignment horizontal="right" wrapText="1"/>
      <protection/>
    </xf>
    <xf numFmtId="9" fontId="0" fillId="0" borderId="0" xfId="0" applyNumberFormat="1" applyFill="1" applyBorder="1" applyAlignment="1" applyProtection="1">
      <alignment horizontal="right" wrapText="1"/>
      <protection/>
    </xf>
    <xf numFmtId="168" fontId="22" fillId="2" borderId="6" xfId="0" applyNumberFormat="1" applyFont="1" applyFill="1" applyBorder="1" applyAlignment="1" applyProtection="1">
      <alignment horizontal="center"/>
      <protection/>
    </xf>
    <xf numFmtId="0" fontId="0" fillId="0" borderId="0" xfId="0" applyFont="1" applyAlignment="1" applyProtection="1">
      <alignment horizontal="right"/>
      <protection/>
    </xf>
    <xf numFmtId="0" fontId="0" fillId="0" borderId="1" xfId="0" applyFont="1" applyFill="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9" fontId="0" fillId="0" borderId="1" xfId="0" applyNumberFormat="1" applyFont="1" applyFill="1" applyBorder="1" applyAlignment="1" applyProtection="1">
      <alignment horizontal="center" wrapText="1"/>
      <protection locked="0"/>
    </xf>
    <xf numFmtId="0" fontId="0" fillId="0" borderId="1" xfId="0" applyFont="1" applyFill="1" applyBorder="1" applyAlignment="1" applyProtection="1">
      <alignment horizontal="right"/>
      <protection/>
    </xf>
    <xf numFmtId="0" fontId="0" fillId="0" borderId="0" xfId="0" applyFont="1" applyFill="1" applyAlignment="1" applyProtection="1">
      <alignment horizontal="right"/>
      <protection/>
    </xf>
    <xf numFmtId="174" fontId="0" fillId="2" borderId="2" xfId="0" applyNumberFormat="1" applyFill="1" applyBorder="1" applyAlignment="1" applyProtection="1">
      <alignment horizontal="right" wrapText="1"/>
      <protection/>
    </xf>
    <xf numFmtId="0" fontId="2" fillId="2" borderId="9" xfId="20" applyFill="1" applyBorder="1" applyAlignment="1" applyProtection="1">
      <alignment horizontal="left" wrapText="1"/>
      <protection/>
    </xf>
    <xf numFmtId="0" fontId="0" fillId="3" borderId="7" xfId="0" applyFill="1" applyBorder="1" applyAlignment="1">
      <alignment horizontal="left" wrapText="1" indent="1"/>
    </xf>
    <xf numFmtId="0" fontId="0" fillId="3" borderId="0" xfId="0" applyFill="1" applyAlignment="1">
      <alignment horizontal="left" wrapText="1" indent="1"/>
    </xf>
    <xf numFmtId="0" fontId="10" fillId="3" borderId="0" xfId="0" applyFont="1" applyFill="1" applyBorder="1" applyAlignment="1" applyProtection="1">
      <alignment horizontal="left" indent="1"/>
      <protection/>
    </xf>
    <xf numFmtId="0" fontId="10" fillId="3" borderId="7" xfId="0" applyFont="1" applyFill="1" applyBorder="1" applyAlignment="1" applyProtection="1">
      <alignment horizontal="left" indent="1"/>
      <protection/>
    </xf>
    <xf numFmtId="0" fontId="10" fillId="3" borderId="0" xfId="0" applyFont="1" applyFill="1" applyAlignment="1">
      <alignment horizontal="left" indent="1"/>
    </xf>
    <xf numFmtId="0" fontId="10" fillId="3" borderId="7" xfId="0" applyFont="1" applyFill="1" applyBorder="1" applyAlignment="1">
      <alignment horizontal="left" indent="1"/>
    </xf>
    <xf numFmtId="0" fontId="0" fillId="3" borderId="0" xfId="0" applyFill="1" applyAlignment="1">
      <alignment horizontal="left" indent="1"/>
    </xf>
    <xf numFmtId="0" fontId="0" fillId="3" borderId="7" xfId="0" applyFill="1" applyBorder="1" applyAlignment="1">
      <alignment horizontal="left" indent="1"/>
    </xf>
    <xf numFmtId="0" fontId="1" fillId="3" borderId="1" xfId="0" applyFont="1" applyFill="1" applyBorder="1" applyAlignment="1" applyProtection="1">
      <alignment horizontal="left" wrapText="1" indent="1"/>
      <protection/>
    </xf>
    <xf numFmtId="4" fontId="0" fillId="2" borderId="2" xfId="0" applyNumberFormat="1" applyFill="1" applyBorder="1" applyAlignment="1" applyProtection="1">
      <alignment horizontal="right" wrapText="1"/>
      <protection/>
    </xf>
    <xf numFmtId="0" fontId="5" fillId="0" borderId="4" xfId="0" applyFont="1" applyFill="1" applyBorder="1" applyAlignment="1">
      <alignment horizontal="left" wrapText="1" indent="1"/>
    </xf>
    <xf numFmtId="0" fontId="0" fillId="3" borderId="5" xfId="0" applyFill="1" applyBorder="1" applyAlignment="1" applyProtection="1">
      <alignment horizontal="left" wrapText="1" indent="1"/>
      <protection/>
    </xf>
    <xf numFmtId="0" fontId="0" fillId="0" borderId="0" xfId="0" applyAlignment="1">
      <alignment horizontal="left" wrapText="1" indent="1"/>
    </xf>
    <xf numFmtId="0" fontId="0" fillId="0" borderId="7" xfId="0" applyBorder="1" applyAlignment="1">
      <alignment horizontal="left" wrapText="1" indent="1"/>
    </xf>
    <xf numFmtId="0" fontId="1" fillId="3" borderId="1" xfId="0" applyFont="1" applyFill="1" applyBorder="1" applyAlignment="1" applyProtection="1">
      <alignment horizontal="left" wrapText="1" indent="1"/>
      <protection/>
    </xf>
    <xf numFmtId="0" fontId="0" fillId="3" borderId="0" xfId="0" applyFill="1" applyAlignment="1">
      <alignment horizontal="left" wrapText="1" indent="1"/>
    </xf>
    <xf numFmtId="0" fontId="0" fillId="3" borderId="7" xfId="0" applyFill="1" applyBorder="1" applyAlignment="1">
      <alignment horizontal="left" wrapText="1" indent="1"/>
    </xf>
    <xf numFmtId="0" fontId="0" fillId="3" borderId="1" xfId="0" applyFill="1" applyBorder="1" applyAlignment="1" applyProtection="1">
      <alignment horizontal="left" indent="1"/>
      <protection/>
    </xf>
    <xf numFmtId="0" fontId="0" fillId="0" borderId="0" xfId="0" applyAlignment="1">
      <alignment horizontal="left" indent="1"/>
    </xf>
    <xf numFmtId="0" fontId="0" fillId="0" borderId="7" xfId="0" applyBorder="1" applyAlignment="1">
      <alignment horizontal="left" indent="1"/>
    </xf>
    <xf numFmtId="0" fontId="0" fillId="3" borderId="1" xfId="0" applyFont="1" applyFill="1" applyBorder="1" applyAlignment="1" applyProtection="1">
      <alignment horizontal="left" wrapText="1" indent="1"/>
      <protection/>
    </xf>
    <xf numFmtId="0" fontId="0" fillId="3" borderId="0" xfId="0" applyFill="1" applyBorder="1" applyAlignment="1">
      <alignment horizontal="left" wrapText="1" indent="1"/>
    </xf>
    <xf numFmtId="0" fontId="0" fillId="0" borderId="0" xfId="0" applyBorder="1" applyAlignment="1">
      <alignment horizontal="left" wrapText="1" indent="1"/>
    </xf>
    <xf numFmtId="0" fontId="0" fillId="0" borderId="13" xfId="0" applyBorder="1" applyAlignment="1">
      <alignment horizontal="left" wrapText="1" indent="1"/>
    </xf>
    <xf numFmtId="0" fontId="0" fillId="3" borderId="9" xfId="0" applyFill="1" applyBorder="1" applyAlignment="1" applyProtection="1">
      <alignment horizontal="left" wrapText="1" indent="1"/>
      <protection/>
    </xf>
    <xf numFmtId="0" fontId="0" fillId="3" borderId="13" xfId="0" applyFill="1" applyBorder="1" applyAlignment="1" applyProtection="1">
      <alignment horizontal="left" wrapText="1" indent="1"/>
      <protection/>
    </xf>
    <xf numFmtId="0" fontId="0" fillId="3" borderId="14" xfId="0" applyFill="1" applyBorder="1" applyAlignment="1" applyProtection="1">
      <alignment horizontal="left" wrapText="1" indent="1"/>
      <protection/>
    </xf>
    <xf numFmtId="0" fontId="0" fillId="3" borderId="1" xfId="0" applyFill="1" applyBorder="1" applyAlignment="1" applyProtection="1">
      <alignment horizontal="left" wrapText="1" indent="1"/>
      <protection/>
    </xf>
    <xf numFmtId="0" fontId="0" fillId="3" borderId="0" xfId="0" applyFill="1" applyBorder="1" applyAlignment="1" applyProtection="1">
      <alignment horizontal="left" wrapText="1" indent="1"/>
      <protection/>
    </xf>
    <xf numFmtId="0" fontId="0" fillId="3" borderId="7" xfId="0" applyFill="1" applyBorder="1" applyAlignment="1" applyProtection="1">
      <alignment horizontal="left" wrapText="1" indent="1"/>
      <protection/>
    </xf>
    <xf numFmtId="0" fontId="1" fillId="3" borderId="10" xfId="0" applyFont="1" applyFill="1" applyBorder="1" applyAlignment="1" applyProtection="1">
      <alignment horizontal="left" wrapText="1" indent="1"/>
      <protection/>
    </xf>
    <xf numFmtId="0" fontId="0" fillId="0" borderId="14" xfId="0" applyBorder="1" applyAlignment="1">
      <alignment horizontal="left" wrapText="1" indent="1"/>
    </xf>
    <xf numFmtId="9" fontId="0" fillId="0" borderId="1" xfId="0" applyNumberFormat="1" applyFont="1" applyFill="1" applyBorder="1" applyAlignment="1" applyProtection="1">
      <alignment horizontal="center" wrapText="1"/>
      <protection locked="0"/>
    </xf>
    <xf numFmtId="0" fontId="0" fillId="0" borderId="1" xfId="0" applyFont="1" applyBorder="1" applyAlignment="1" applyProtection="1">
      <alignment horizontal="center" wrapText="1"/>
      <protection/>
    </xf>
    <xf numFmtId="0" fontId="6" fillId="0" borderId="0" xfId="0" applyFont="1" applyAlignment="1" applyProtection="1">
      <alignment/>
      <protection/>
    </xf>
    <xf numFmtId="0" fontId="9" fillId="0" borderId="0" xfId="0" applyFont="1" applyAlignment="1" applyProtection="1">
      <alignment horizontal="left" wrapText="1"/>
      <protection/>
    </xf>
    <xf numFmtId="0" fontId="0" fillId="0" borderId="0" xfId="0" applyFont="1" applyAlignment="1">
      <alignment horizontal="left" wrapText="1"/>
    </xf>
    <xf numFmtId="0" fontId="9" fillId="0" borderId="0" xfId="0" applyFont="1" applyFill="1" applyAlignment="1" applyProtection="1">
      <alignment horizontal="left" wrapText="1"/>
      <protection/>
    </xf>
    <xf numFmtId="0" fontId="0" fillId="0" borderId="0" xfId="0" applyAlignment="1">
      <alignment wrapText="1"/>
    </xf>
    <xf numFmtId="0" fontId="0" fillId="0" borderId="0" xfId="0" applyFont="1" applyAlignment="1" applyProtection="1">
      <alignment horizontal="left"/>
      <protection/>
    </xf>
    <xf numFmtId="0" fontId="0" fillId="0" borderId="0" xfId="0" applyFont="1" applyAlignment="1">
      <alignment/>
    </xf>
    <xf numFmtId="0" fontId="0" fillId="0" borderId="0" xfId="0" applyAlignment="1">
      <alignment/>
    </xf>
    <xf numFmtId="0" fontId="25" fillId="4" borderId="0" xfId="0" applyFont="1" applyFill="1" applyAlignment="1" applyProtection="1">
      <alignment horizontal="left"/>
      <protection/>
    </xf>
    <xf numFmtId="0" fontId="20" fillId="4" borderId="0" xfId="0" applyFont="1" applyFill="1" applyAlignment="1" applyProtection="1">
      <alignment horizontal="left"/>
      <protection/>
    </xf>
    <xf numFmtId="0" fontId="0" fillId="2" borderId="15" xfId="0" applyFill="1" applyBorder="1" applyAlignment="1" applyProtection="1">
      <alignment horizontal="left" wrapText="1"/>
      <protection/>
    </xf>
    <xf numFmtId="0" fontId="0" fillId="2" borderId="16" xfId="0" applyFill="1" applyBorder="1" applyAlignment="1" applyProtection="1">
      <alignment horizontal="left" wrapText="1"/>
      <protection/>
    </xf>
    <xf numFmtId="0" fontId="0" fillId="2" borderId="17" xfId="0" applyFill="1" applyBorder="1" applyAlignment="1" applyProtection="1">
      <alignment horizontal="left" wrapText="1"/>
      <protection/>
    </xf>
    <xf numFmtId="0" fontId="4" fillId="0" borderId="10" xfId="0" applyFont="1" applyFill="1" applyBorder="1" applyAlignment="1" applyProtection="1">
      <alignment horizontal="left" wrapText="1"/>
      <protection/>
    </xf>
    <xf numFmtId="0" fontId="0" fillId="0" borderId="5" xfId="0" applyFill="1" applyBorder="1" applyAlignment="1" applyProtection="1">
      <alignment horizontal="left" wrapText="1"/>
      <protection/>
    </xf>
    <xf numFmtId="0" fontId="8" fillId="4" borderId="13" xfId="0" applyFont="1" applyFill="1" applyBorder="1" applyAlignment="1" applyProtection="1">
      <alignment horizontal="left" wrapText="1"/>
      <protection/>
    </xf>
    <xf numFmtId="0" fontId="0" fillId="0" borderId="13" xfId="0" applyBorder="1" applyAlignment="1">
      <alignment wrapText="1"/>
    </xf>
    <xf numFmtId="0" fontId="4" fillId="2" borderId="8" xfId="0" applyFont="1" applyFill="1" applyBorder="1" applyAlignment="1" applyProtection="1">
      <alignment horizontal="left" wrapText="1"/>
      <protection/>
    </xf>
    <xf numFmtId="0" fontId="0" fillId="0" borderId="12" xfId="0" applyBorder="1" applyAlignment="1" applyProtection="1">
      <alignment horizontal="left" wrapText="1"/>
      <protection/>
    </xf>
    <xf numFmtId="0" fontId="0" fillId="0" borderId="11" xfId="0" applyBorder="1" applyAlignment="1">
      <alignment wrapText="1"/>
    </xf>
    <xf numFmtId="0" fontId="0" fillId="0" borderId="11" xfId="0" applyBorder="1" applyAlignment="1">
      <alignment horizontal="left" wrapText="1"/>
    </xf>
    <xf numFmtId="0" fontId="25" fillId="4" borderId="0" xfId="0" applyFont="1" applyFill="1" applyBorder="1" applyAlignment="1" applyProtection="1">
      <alignment horizontal="left"/>
      <protection/>
    </xf>
    <xf numFmtId="0" fontId="20" fillId="4" borderId="0" xfId="0" applyFont="1" applyFill="1" applyBorder="1" applyAlignment="1" applyProtection="1">
      <alignment horizontal="left"/>
      <protection/>
    </xf>
    <xf numFmtId="0" fontId="1" fillId="3" borderId="18" xfId="0" applyFont="1" applyFill="1" applyBorder="1" applyAlignment="1">
      <alignment horizontal="left" wrapText="1" indent="1"/>
    </xf>
    <xf numFmtId="0" fontId="0" fillId="3" borderId="19" xfId="0" applyFill="1" applyBorder="1" applyAlignment="1">
      <alignment horizontal="left" wrapText="1" indent="1"/>
    </xf>
    <xf numFmtId="0" fontId="0" fillId="0" borderId="19" xfId="0" applyBorder="1" applyAlignment="1">
      <alignment horizontal="left" wrapText="1" indent="1"/>
    </xf>
    <xf numFmtId="0" fontId="0" fillId="0" borderId="20" xfId="0" applyBorder="1" applyAlignment="1">
      <alignment horizontal="left" wrapText="1" indent="1"/>
    </xf>
    <xf numFmtId="0" fontId="1" fillId="3" borderId="3" xfId="0" applyFont="1" applyFill="1" applyBorder="1" applyAlignment="1">
      <alignment horizontal="left" wrapText="1" indent="1"/>
    </xf>
    <xf numFmtId="0" fontId="5" fillId="3" borderId="0" xfId="0" applyFont="1" applyFill="1" applyBorder="1" applyAlignment="1">
      <alignment horizontal="left" wrapText="1" indent="1"/>
    </xf>
    <xf numFmtId="0" fontId="5" fillId="3" borderId="4" xfId="0" applyFont="1" applyFill="1" applyBorder="1" applyAlignment="1">
      <alignment horizontal="left" wrapText="1" indent="1"/>
    </xf>
    <xf numFmtId="0" fontId="0" fillId="3" borderId="4" xfId="0" applyFill="1" applyBorder="1" applyAlignment="1">
      <alignment horizontal="left" wrapText="1" indent="1"/>
    </xf>
    <xf numFmtId="0" fontId="0" fillId="0" borderId="4" xfId="0" applyBorder="1" applyAlignment="1">
      <alignment horizontal="left" wrapText="1" indent="1"/>
    </xf>
    <xf numFmtId="0" fontId="1" fillId="3" borderId="21" xfId="0" applyFont="1" applyFill="1" applyBorder="1" applyAlignment="1">
      <alignment horizontal="left" wrapText="1" indent="1"/>
    </xf>
    <xf numFmtId="0" fontId="1" fillId="3" borderId="22" xfId="0" applyFont="1" applyFill="1" applyBorder="1" applyAlignment="1">
      <alignment horizontal="left" wrapText="1" indent="1"/>
    </xf>
    <xf numFmtId="0" fontId="1" fillId="3" borderId="23" xfId="0" applyFont="1" applyFill="1" applyBorder="1" applyAlignment="1">
      <alignment horizontal="left" wrapText="1" indent="1"/>
    </xf>
    <xf numFmtId="0" fontId="1" fillId="0" borderId="10" xfId="0" applyFont="1" applyBorder="1" applyAlignment="1">
      <alignment/>
    </xf>
    <xf numFmtId="0" fontId="1" fillId="0" borderId="5" xfId="0" applyFont="1" applyBorder="1" applyAlignment="1">
      <alignment/>
    </xf>
    <xf numFmtId="0" fontId="1" fillId="0" borderId="6" xfId="0" applyFont="1" applyBorder="1" applyAlignment="1">
      <alignment/>
    </xf>
    <xf numFmtId="0" fontId="0" fillId="0" borderId="5" xfId="0" applyBorder="1" applyAlignment="1">
      <alignment/>
    </xf>
    <xf numFmtId="0" fontId="0" fillId="0" borderId="6" xfId="0" applyBorder="1" applyAlignment="1">
      <alignment/>
    </xf>
    <xf numFmtId="0" fontId="2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Average Annual Water, Maintenance and Yard Waste Disposal Cost</a:t>
            </a:r>
          </a:p>
        </c:rich>
      </c:tx>
      <c:layout/>
      <c:spPr>
        <a:noFill/>
        <a:ln>
          <a:noFill/>
        </a:ln>
      </c:spPr>
    </c:title>
    <c:plotArea>
      <c:layout>
        <c:manualLayout>
          <c:xMode val="edge"/>
          <c:yMode val="edge"/>
          <c:x val="0.0445"/>
          <c:y val="0.19"/>
          <c:w val="0.94025"/>
          <c:h val="0.61975"/>
        </c:manualLayout>
      </c:layout>
      <c:barChart>
        <c:barDir val="col"/>
        <c:grouping val="clustered"/>
        <c:varyColors val="0"/>
        <c:ser>
          <c:idx val="0"/>
          <c:order val="0"/>
          <c:tx>
            <c:v>Low Cost Estimate</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Calculator'!$B$3,'Cost Calculator'!$B$20)</c:f>
              <c:strCache>
                <c:ptCount val="2"/>
                <c:pt idx="0">
                  <c:v>Conventional Landscape</c:v>
                </c:pt>
                <c:pt idx="1">
                  <c:v>Water Saving Landscape</c:v>
                </c:pt>
              </c:strCache>
            </c:strRef>
          </c:cat>
          <c:val>
            <c:numRef>
              <c:f>('Cost Calculator'!$C$15,'Cost Calculator'!$C$34)</c:f>
              <c:numCache>
                <c:ptCount val="2"/>
                <c:pt idx="0">
                  <c:v>38151.993</c:v>
                </c:pt>
                <c:pt idx="1">
                  <c:v>27233.541</c:v>
                </c:pt>
              </c:numCache>
            </c:numRef>
          </c:val>
        </c:ser>
        <c:ser>
          <c:idx val="1"/>
          <c:order val="1"/>
          <c:tx>
            <c:v>High Cost Estimate</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Calculator'!$B$3,'Cost Calculator'!$B$20)</c:f>
              <c:strCache>
                <c:ptCount val="2"/>
                <c:pt idx="0">
                  <c:v>Conventional Landscape</c:v>
                </c:pt>
                <c:pt idx="1">
                  <c:v>Water Saving Landscape</c:v>
                </c:pt>
              </c:strCache>
            </c:strRef>
          </c:cat>
          <c:val>
            <c:numRef>
              <c:f>('Cost Calculator'!$D$15,'Cost Calculator'!$D$34)</c:f>
              <c:numCache>
                <c:ptCount val="2"/>
                <c:pt idx="0">
                  <c:v>48611.185</c:v>
                </c:pt>
                <c:pt idx="1">
                  <c:v>33854.381</c:v>
                </c:pt>
              </c:numCache>
            </c:numRef>
          </c:val>
        </c:ser>
        <c:axId val="21155220"/>
        <c:axId val="56179253"/>
      </c:barChart>
      <c:catAx>
        <c:axId val="21155220"/>
        <c:scaling>
          <c:orientation val="minMax"/>
        </c:scaling>
        <c:axPos val="b"/>
        <c:title>
          <c:tx>
            <c:rich>
              <a:bodyPr vert="horz" rot="0" anchor="ctr"/>
              <a:lstStyle/>
              <a:p>
                <a:pPr algn="ctr">
                  <a:defRPr/>
                </a:pPr>
                <a:r>
                  <a:rPr lang="en-US" cap="none" sz="1175" b="1" i="0" u="none" baseline="0">
                    <a:latin typeface="Arial"/>
                    <a:ea typeface="Arial"/>
                    <a:cs typeface="Arial"/>
                  </a:rPr>
                  <a:t>Landscape Type</a:t>
                </a:r>
              </a:p>
            </c:rich>
          </c:tx>
          <c:layout>
            <c:manualLayout>
              <c:xMode val="factor"/>
              <c:yMode val="factor"/>
              <c:x val="0.00125"/>
              <c:y val="-0.00275"/>
            </c:manualLayout>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56179253"/>
        <c:crosses val="autoZero"/>
        <c:auto val="1"/>
        <c:lblOffset val="100"/>
        <c:noMultiLvlLbl val="0"/>
      </c:catAx>
      <c:valAx>
        <c:axId val="56179253"/>
        <c:scaling>
          <c:orientation val="minMax"/>
        </c:scaling>
        <c:axPos val="l"/>
        <c:title>
          <c:tx>
            <c:rich>
              <a:bodyPr vert="horz" rot="-5400000" anchor="ctr"/>
              <a:lstStyle/>
              <a:p>
                <a:pPr algn="ctr">
                  <a:defRPr/>
                </a:pPr>
                <a:r>
                  <a:rPr lang="en-US" cap="none" sz="1175" b="1" i="0" u="none" baseline="0">
                    <a:latin typeface="Arial"/>
                    <a:ea typeface="Arial"/>
                    <a:cs typeface="Arial"/>
                  </a:rPr>
                  <a:t>Cost</a:t>
                </a:r>
              </a:p>
            </c:rich>
          </c:tx>
          <c:layout/>
          <c:overlay val="0"/>
          <c:spPr>
            <a:noFill/>
            <a:ln>
              <a:noFill/>
            </a:ln>
          </c:spPr>
        </c:title>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1155220"/>
        <c:crossesAt val="1"/>
        <c:crossBetween val="between"/>
        <c:dispUnits/>
      </c:valAx>
      <c:spPr>
        <a:noFill/>
        <a:ln>
          <a:noFill/>
        </a:ln>
      </c:spPr>
    </c:plotArea>
    <c:legend>
      <c:legendPos val="b"/>
      <c:layout>
        <c:manualLayout>
          <c:xMode val="edge"/>
          <c:yMode val="edge"/>
          <c:x val="0"/>
          <c:y val="0.9162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Total Cost Over Time (Average)*</a:t>
            </a:r>
          </a:p>
        </c:rich>
      </c:tx>
      <c:layout/>
      <c:spPr>
        <a:noFill/>
        <a:ln>
          <a:noFill/>
        </a:ln>
      </c:spPr>
    </c:title>
    <c:plotArea>
      <c:layout>
        <c:manualLayout>
          <c:xMode val="edge"/>
          <c:yMode val="edge"/>
          <c:x val="0.045"/>
          <c:y val="0.18525"/>
          <c:w val="0.93975"/>
          <c:h val="0.58825"/>
        </c:manualLayout>
      </c:layout>
      <c:lineChart>
        <c:grouping val="standard"/>
        <c:varyColors val="0"/>
        <c:ser>
          <c:idx val="0"/>
          <c:order val="0"/>
          <c:tx>
            <c:v>Original Landscape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('Cost Calculator'!$B$23,'Cost Calculator'!$B$35:$B$37)</c:f>
              <c:strCache>
                <c:ptCount val="4"/>
                <c:pt idx="0">
                  <c:v>Net Initial Cost </c:v>
                </c:pt>
                <c:pt idx="1">
                  <c:v>3 Year Cost</c:v>
                </c:pt>
                <c:pt idx="2">
                  <c:v>6 Year Cost</c:v>
                </c:pt>
                <c:pt idx="3">
                  <c:v>10 Year Cost</c:v>
                </c:pt>
              </c:strCache>
            </c:strRef>
          </c:cat>
          <c:val>
            <c:numRef>
              <c:f>('Cost Calculator'!$E$4,'Cost Calculator'!$E$16:$E$18)</c:f>
              <c:numCache>
                <c:ptCount val="4"/>
                <c:pt idx="0">
                  <c:v>0</c:v>
                </c:pt>
                <c:pt idx="1">
                  <c:v>130144.76699999999</c:v>
                </c:pt>
                <c:pt idx="2">
                  <c:v>260289.53399999999</c:v>
                </c:pt>
                <c:pt idx="3">
                  <c:v>433815.89</c:v>
                </c:pt>
              </c:numCache>
            </c:numRef>
          </c:val>
          <c:smooth val="0"/>
        </c:ser>
        <c:ser>
          <c:idx val="2"/>
          <c:order val="1"/>
          <c:tx>
            <c:v>Water Saving Landscape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339966"/>
              </a:solidFill>
              <a:ln>
                <a:solidFill>
                  <a:srgbClr val="339966"/>
                </a:solidFill>
              </a:ln>
            </c:spPr>
          </c:marker>
          <c:cat>
            <c:strRef>
              <c:f>('Cost Calculator'!$B$23,'Cost Calculator'!$B$35:$B$37)</c:f>
              <c:strCache>
                <c:ptCount val="4"/>
                <c:pt idx="0">
                  <c:v>Net Initial Cost </c:v>
                </c:pt>
                <c:pt idx="1">
                  <c:v>3 Year Cost</c:v>
                </c:pt>
                <c:pt idx="2">
                  <c:v>6 Year Cost</c:v>
                </c:pt>
                <c:pt idx="3">
                  <c:v>10 Year Cost</c:v>
                </c:pt>
              </c:strCache>
            </c:strRef>
          </c:cat>
          <c:val>
            <c:numRef>
              <c:f>('Cost Calculator'!$E$23,'Cost Calculator'!$E$35:$E$37)</c:f>
              <c:numCache>
                <c:ptCount val="4"/>
                <c:pt idx="0">
                  <c:v>42300</c:v>
                </c:pt>
                <c:pt idx="1">
                  <c:v>133931.883</c:v>
                </c:pt>
                <c:pt idx="2">
                  <c:v>225563.766</c:v>
                </c:pt>
                <c:pt idx="3">
                  <c:v>347739.61</c:v>
                </c:pt>
              </c:numCache>
            </c:numRef>
          </c:val>
          <c:smooth val="0"/>
        </c:ser>
        <c:marker val="1"/>
        <c:axId val="35851230"/>
        <c:axId val="54225615"/>
      </c:lineChart>
      <c:catAx>
        <c:axId val="35851230"/>
        <c:scaling>
          <c:orientation val="minMax"/>
        </c:scaling>
        <c:axPos val="b"/>
        <c:title>
          <c:tx>
            <c:rich>
              <a:bodyPr vert="horz" rot="0" anchor="ctr"/>
              <a:lstStyle/>
              <a:p>
                <a:pPr algn="ctr">
                  <a:defRPr/>
                </a:pPr>
                <a:r>
                  <a:rPr lang="en-US" cap="none" sz="1200" b="1" i="0" u="none" baseline="0">
                    <a:latin typeface="Arial"/>
                    <a:ea typeface="Arial"/>
                    <a:cs typeface="Arial"/>
                  </a:rPr>
                  <a:t>Time</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4225615"/>
        <c:crosses val="autoZero"/>
        <c:auto val="1"/>
        <c:lblOffset val="100"/>
        <c:noMultiLvlLbl val="0"/>
      </c:catAx>
      <c:valAx>
        <c:axId val="54225615"/>
        <c:scaling>
          <c:orientation val="minMax"/>
        </c:scaling>
        <c:axPos val="l"/>
        <c:title>
          <c:tx>
            <c:rich>
              <a:bodyPr vert="horz" rot="-5400000" anchor="ctr"/>
              <a:lstStyle/>
              <a:p>
                <a:pPr algn="ctr">
                  <a:defRPr/>
                </a:pPr>
                <a:r>
                  <a:rPr lang="en-US" cap="none" sz="1200" b="1" i="0" u="none" baseline="0">
                    <a:latin typeface="Arial"/>
                    <a:ea typeface="Arial"/>
                    <a:cs typeface="Arial"/>
                  </a:rPr>
                  <a:t>Cost</a:t>
                </a:r>
              </a:p>
            </c:rich>
          </c:tx>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35851230"/>
        <c:crossesAt val="1"/>
        <c:crossBetween val="between"/>
        <c:dispUnits/>
      </c:valAx>
      <c:spPr>
        <a:noFill/>
        <a:ln w="12700">
          <a:solidFill>
            <a:srgbClr val="FFFFFF"/>
          </a:solidFill>
        </a:ln>
      </c:spPr>
    </c:plotArea>
    <c:legend>
      <c:legendPos val="r"/>
      <c:layout>
        <c:manualLayout>
          <c:xMode val="edge"/>
          <c:yMode val="edge"/>
          <c:x val="0.06575"/>
          <c:y val="0.8395"/>
          <c:w val="0.42125"/>
          <c:h val="0.1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7.emf" /><Relationship Id="rId5" Type="http://schemas.openxmlformats.org/officeDocument/2006/relationships/image" Target="../media/image1.emf" /><Relationship Id="rId6" Type="http://schemas.openxmlformats.org/officeDocument/2006/relationships/image" Target="../media/image6.emf" /><Relationship Id="rId7"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16</xdr:row>
      <xdr:rowOff>66675</xdr:rowOff>
    </xdr:from>
    <xdr:to>
      <xdr:col>5</xdr:col>
      <xdr:colOff>581025</xdr:colOff>
      <xdr:row>26</xdr:row>
      <xdr:rowOff>85725</xdr:rowOff>
    </xdr:to>
    <xdr:pic>
      <xdr:nvPicPr>
        <xdr:cNvPr id="1" name="Picture 2"/>
        <xdr:cNvPicPr preferRelativeResize="1">
          <a:picLocks noChangeAspect="1"/>
        </xdr:cNvPicPr>
      </xdr:nvPicPr>
      <xdr:blipFill>
        <a:blip r:embed="rId1"/>
        <a:stretch>
          <a:fillRect/>
        </a:stretch>
      </xdr:blipFill>
      <xdr:spPr>
        <a:xfrm>
          <a:off x="1247775" y="6276975"/>
          <a:ext cx="2381250" cy="1638300"/>
        </a:xfrm>
        <a:prstGeom prst="rect">
          <a:avLst/>
        </a:prstGeom>
        <a:noFill/>
        <a:ln w="9525" cmpd="sng">
          <a:noFill/>
        </a:ln>
      </xdr:spPr>
    </xdr:pic>
    <xdr:clientData/>
  </xdr:twoCellAnchor>
  <xdr:twoCellAnchor editAs="oneCell">
    <xdr:from>
      <xdr:col>2</xdr:col>
      <xdr:colOff>28575</xdr:colOff>
      <xdr:row>16</xdr:row>
      <xdr:rowOff>66675</xdr:rowOff>
    </xdr:from>
    <xdr:to>
      <xdr:col>5</xdr:col>
      <xdr:colOff>581025</xdr:colOff>
      <xdr:row>26</xdr:row>
      <xdr:rowOff>85725</xdr:rowOff>
    </xdr:to>
    <xdr:pic>
      <xdr:nvPicPr>
        <xdr:cNvPr id="2" name="Picture 4"/>
        <xdr:cNvPicPr preferRelativeResize="1">
          <a:picLocks noChangeAspect="1"/>
        </xdr:cNvPicPr>
      </xdr:nvPicPr>
      <xdr:blipFill>
        <a:blip r:embed="rId1"/>
        <a:stretch>
          <a:fillRect/>
        </a:stretch>
      </xdr:blipFill>
      <xdr:spPr>
        <a:xfrm>
          <a:off x="1247775" y="6276975"/>
          <a:ext cx="2381250" cy="1638300"/>
        </a:xfrm>
        <a:prstGeom prst="rect">
          <a:avLst/>
        </a:prstGeom>
        <a:noFill/>
        <a:ln w="9525" cmpd="sng">
          <a:noFill/>
        </a:ln>
      </xdr:spPr>
    </xdr:pic>
    <xdr:clientData/>
  </xdr:twoCellAnchor>
  <xdr:twoCellAnchor editAs="oneCell">
    <xdr:from>
      <xdr:col>6</xdr:col>
      <xdr:colOff>400050</xdr:colOff>
      <xdr:row>0</xdr:row>
      <xdr:rowOff>28575</xdr:rowOff>
    </xdr:from>
    <xdr:to>
      <xdr:col>8</xdr:col>
      <xdr:colOff>790575</xdr:colOff>
      <xdr:row>2</xdr:row>
      <xdr:rowOff>28575</xdr:rowOff>
    </xdr:to>
    <xdr:pic>
      <xdr:nvPicPr>
        <xdr:cNvPr id="3" name="Picture 5"/>
        <xdr:cNvPicPr preferRelativeResize="1">
          <a:picLocks noChangeAspect="1"/>
        </xdr:cNvPicPr>
      </xdr:nvPicPr>
      <xdr:blipFill>
        <a:blip r:embed="rId2"/>
        <a:stretch>
          <a:fillRect/>
        </a:stretch>
      </xdr:blipFill>
      <xdr:spPr>
        <a:xfrm>
          <a:off x="4057650" y="28575"/>
          <a:ext cx="16097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28575</xdr:rowOff>
    </xdr:from>
    <xdr:to>
      <xdr:col>8</xdr:col>
      <xdr:colOff>790575</xdr:colOff>
      <xdr:row>1</xdr:row>
      <xdr:rowOff>133350</xdr:rowOff>
    </xdr:to>
    <xdr:pic>
      <xdr:nvPicPr>
        <xdr:cNvPr id="1" name="Picture 3"/>
        <xdr:cNvPicPr preferRelativeResize="1">
          <a:picLocks noChangeAspect="1"/>
        </xdr:cNvPicPr>
      </xdr:nvPicPr>
      <xdr:blipFill>
        <a:blip r:embed="rId1"/>
        <a:stretch>
          <a:fillRect/>
        </a:stretch>
      </xdr:blipFill>
      <xdr:spPr>
        <a:xfrm>
          <a:off x="4057650" y="28575"/>
          <a:ext cx="160972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9525</xdr:rowOff>
    </xdr:from>
    <xdr:to>
      <xdr:col>1</xdr:col>
      <xdr:colOff>1733550</xdr:colOff>
      <xdr:row>1</xdr:row>
      <xdr:rowOff>142875</xdr:rowOff>
    </xdr:to>
    <xdr:pic>
      <xdr:nvPicPr>
        <xdr:cNvPr id="1" name="Picture 1"/>
        <xdr:cNvPicPr preferRelativeResize="1">
          <a:picLocks noChangeAspect="1"/>
        </xdr:cNvPicPr>
      </xdr:nvPicPr>
      <xdr:blipFill>
        <a:blip r:embed="rId1"/>
        <a:stretch>
          <a:fillRect/>
        </a:stretch>
      </xdr:blipFill>
      <xdr:spPr>
        <a:xfrm>
          <a:off x="3743325" y="9525"/>
          <a:ext cx="1476375" cy="295275"/>
        </a:xfrm>
        <a:prstGeom prst="rect">
          <a:avLst/>
        </a:prstGeom>
        <a:noFill/>
        <a:ln w="9525" cmpd="sng">
          <a:noFill/>
        </a:ln>
      </xdr:spPr>
    </xdr:pic>
    <xdr:clientData/>
  </xdr:twoCellAnchor>
  <xdr:twoCellAnchor editAs="oneCell">
    <xdr:from>
      <xdr:col>1</xdr:col>
      <xdr:colOff>38100</xdr:colOff>
      <xdr:row>6</xdr:row>
      <xdr:rowOff>57150</xdr:rowOff>
    </xdr:from>
    <xdr:to>
      <xdr:col>1</xdr:col>
      <xdr:colOff>1676400</xdr:colOff>
      <xdr:row>6</xdr:row>
      <xdr:rowOff>285750</xdr:rowOff>
    </xdr:to>
    <xdr:pic>
      <xdr:nvPicPr>
        <xdr:cNvPr id="2" name="waterFacilityList"/>
        <xdr:cNvPicPr preferRelativeResize="1">
          <a:picLocks noChangeAspect="1"/>
        </xdr:cNvPicPr>
      </xdr:nvPicPr>
      <xdr:blipFill>
        <a:blip r:embed="rId2"/>
        <a:stretch>
          <a:fillRect/>
        </a:stretch>
      </xdr:blipFill>
      <xdr:spPr>
        <a:xfrm>
          <a:off x="3524250" y="1028700"/>
          <a:ext cx="1638300" cy="228600"/>
        </a:xfrm>
        <a:prstGeom prst="rect">
          <a:avLst/>
        </a:prstGeom>
        <a:noFill/>
        <a:ln w="9525" cmpd="sng">
          <a:noFill/>
        </a:ln>
      </xdr:spPr>
    </xdr:pic>
    <xdr:clientData/>
  </xdr:twoCellAnchor>
  <xdr:twoCellAnchor editAs="oneCell">
    <xdr:from>
      <xdr:col>1</xdr:col>
      <xdr:colOff>47625</xdr:colOff>
      <xdr:row>7</xdr:row>
      <xdr:rowOff>47625</xdr:rowOff>
    </xdr:from>
    <xdr:to>
      <xdr:col>1</xdr:col>
      <xdr:colOff>1666875</xdr:colOff>
      <xdr:row>7</xdr:row>
      <xdr:rowOff>285750</xdr:rowOff>
    </xdr:to>
    <xdr:pic>
      <xdr:nvPicPr>
        <xdr:cNvPr id="3" name="rateList"/>
        <xdr:cNvPicPr preferRelativeResize="1">
          <a:picLocks noChangeAspect="1"/>
        </xdr:cNvPicPr>
      </xdr:nvPicPr>
      <xdr:blipFill>
        <a:blip r:embed="rId3"/>
        <a:stretch>
          <a:fillRect/>
        </a:stretch>
      </xdr:blipFill>
      <xdr:spPr>
        <a:xfrm>
          <a:off x="3533775" y="1333500"/>
          <a:ext cx="1619250" cy="238125"/>
        </a:xfrm>
        <a:prstGeom prst="rect">
          <a:avLst/>
        </a:prstGeom>
        <a:noFill/>
        <a:ln w="9525" cmpd="sng">
          <a:noFill/>
        </a:ln>
      </xdr:spPr>
    </xdr:pic>
    <xdr:clientData/>
  </xdr:twoCellAnchor>
  <xdr:twoCellAnchor editAs="oneCell">
    <xdr:from>
      <xdr:col>1</xdr:col>
      <xdr:colOff>28575</xdr:colOff>
      <xdr:row>12</xdr:row>
      <xdr:rowOff>19050</xdr:rowOff>
    </xdr:from>
    <xdr:to>
      <xdr:col>2</xdr:col>
      <xdr:colOff>9525</xdr:colOff>
      <xdr:row>12</xdr:row>
      <xdr:rowOff>266700</xdr:rowOff>
    </xdr:to>
    <xdr:pic>
      <xdr:nvPicPr>
        <xdr:cNvPr id="4" name="maintenanceList"/>
        <xdr:cNvPicPr preferRelativeResize="1">
          <a:picLocks noChangeAspect="1"/>
        </xdr:cNvPicPr>
      </xdr:nvPicPr>
      <xdr:blipFill>
        <a:blip r:embed="rId4"/>
        <a:stretch>
          <a:fillRect/>
        </a:stretch>
      </xdr:blipFill>
      <xdr:spPr>
        <a:xfrm>
          <a:off x="3514725" y="2238375"/>
          <a:ext cx="1724025" cy="247650"/>
        </a:xfrm>
        <a:prstGeom prst="rect">
          <a:avLst/>
        </a:prstGeom>
        <a:noFill/>
        <a:ln w="9525" cmpd="sng">
          <a:noFill/>
        </a:ln>
      </xdr:spPr>
    </xdr:pic>
    <xdr:clientData/>
  </xdr:twoCellAnchor>
  <xdr:twoCellAnchor editAs="oneCell">
    <xdr:from>
      <xdr:col>1</xdr:col>
      <xdr:colOff>19050</xdr:colOff>
      <xdr:row>37</xdr:row>
      <xdr:rowOff>38100</xdr:rowOff>
    </xdr:from>
    <xdr:to>
      <xdr:col>1</xdr:col>
      <xdr:colOff>1695450</xdr:colOff>
      <xdr:row>37</xdr:row>
      <xdr:rowOff>323850</xdr:rowOff>
    </xdr:to>
    <xdr:pic>
      <xdr:nvPicPr>
        <xdr:cNvPr id="5" name="govtRebate"/>
        <xdr:cNvPicPr preferRelativeResize="1">
          <a:picLocks noChangeAspect="1"/>
        </xdr:cNvPicPr>
      </xdr:nvPicPr>
      <xdr:blipFill>
        <a:blip r:embed="rId5"/>
        <a:stretch>
          <a:fillRect/>
        </a:stretch>
      </xdr:blipFill>
      <xdr:spPr>
        <a:xfrm>
          <a:off x="3505200" y="6819900"/>
          <a:ext cx="1676400" cy="285750"/>
        </a:xfrm>
        <a:prstGeom prst="rect">
          <a:avLst/>
        </a:prstGeom>
        <a:noFill/>
        <a:ln w="9525" cmpd="sng">
          <a:noFill/>
        </a:ln>
      </xdr:spPr>
    </xdr:pic>
    <xdr:clientData/>
  </xdr:twoCellAnchor>
  <xdr:twoCellAnchor editAs="oneCell">
    <xdr:from>
      <xdr:col>1</xdr:col>
      <xdr:colOff>28575</xdr:colOff>
      <xdr:row>41</xdr:row>
      <xdr:rowOff>38100</xdr:rowOff>
    </xdr:from>
    <xdr:to>
      <xdr:col>1</xdr:col>
      <xdr:colOff>1714500</xdr:colOff>
      <xdr:row>41</xdr:row>
      <xdr:rowOff>266700</xdr:rowOff>
    </xdr:to>
    <xdr:pic>
      <xdr:nvPicPr>
        <xdr:cNvPr id="6" name="yardWaste"/>
        <xdr:cNvPicPr preferRelativeResize="1">
          <a:picLocks noChangeAspect="1"/>
        </xdr:cNvPicPr>
      </xdr:nvPicPr>
      <xdr:blipFill>
        <a:blip r:embed="rId6"/>
        <a:stretch>
          <a:fillRect/>
        </a:stretch>
      </xdr:blipFill>
      <xdr:spPr>
        <a:xfrm>
          <a:off x="3514725" y="7677150"/>
          <a:ext cx="1685925" cy="228600"/>
        </a:xfrm>
        <a:prstGeom prst="rect">
          <a:avLst/>
        </a:prstGeom>
        <a:noFill/>
        <a:ln w="9525" cmpd="sng">
          <a:noFill/>
        </a:ln>
      </xdr:spPr>
    </xdr:pic>
    <xdr:clientData/>
  </xdr:twoCellAnchor>
  <xdr:twoCellAnchor editAs="oneCell">
    <xdr:from>
      <xdr:col>1</xdr:col>
      <xdr:colOff>28575</xdr:colOff>
      <xdr:row>42</xdr:row>
      <xdr:rowOff>38100</xdr:rowOff>
    </xdr:from>
    <xdr:to>
      <xdr:col>1</xdr:col>
      <xdr:colOff>1714500</xdr:colOff>
      <xdr:row>42</xdr:row>
      <xdr:rowOff>266700</xdr:rowOff>
    </xdr:to>
    <xdr:pic>
      <xdr:nvPicPr>
        <xdr:cNvPr id="7" name="weightOrVolume"/>
        <xdr:cNvPicPr preferRelativeResize="1">
          <a:picLocks noChangeAspect="1"/>
        </xdr:cNvPicPr>
      </xdr:nvPicPr>
      <xdr:blipFill>
        <a:blip r:embed="rId7"/>
        <a:stretch>
          <a:fillRect/>
        </a:stretch>
      </xdr:blipFill>
      <xdr:spPr>
        <a:xfrm>
          <a:off x="3514725" y="8010525"/>
          <a:ext cx="168592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1009650</xdr:colOff>
      <xdr:row>0</xdr:row>
      <xdr:rowOff>19050</xdr:rowOff>
    </xdr:from>
    <xdr:to>
      <xdr:col>3</xdr:col>
      <xdr:colOff>1238250</xdr:colOff>
      <xdr:row>1</xdr:row>
      <xdr:rowOff>152400</xdr:rowOff>
    </xdr:to>
    <xdr:pic>
      <xdr:nvPicPr>
        <xdr:cNvPr id="1" name="Picture 2"/>
        <xdr:cNvPicPr preferRelativeResize="1">
          <a:picLocks noChangeAspect="1"/>
        </xdr:cNvPicPr>
      </xdr:nvPicPr>
      <xdr:blipFill>
        <a:blip r:embed="rId1"/>
        <a:stretch>
          <a:fillRect/>
        </a:stretch>
      </xdr:blipFill>
      <xdr:spPr>
        <a:xfrm>
          <a:off x="3990975" y="19050"/>
          <a:ext cx="14763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0</xdr:row>
      <xdr:rowOff>19050</xdr:rowOff>
    </xdr:from>
    <xdr:to>
      <xdr:col>11</xdr:col>
      <xdr:colOff>152400</xdr:colOff>
      <xdr:row>2</xdr:row>
      <xdr:rowOff>66675</xdr:rowOff>
    </xdr:to>
    <xdr:pic>
      <xdr:nvPicPr>
        <xdr:cNvPr id="1" name="Picture 2"/>
        <xdr:cNvPicPr preferRelativeResize="1">
          <a:picLocks noChangeAspect="1"/>
        </xdr:cNvPicPr>
      </xdr:nvPicPr>
      <xdr:blipFill>
        <a:blip r:embed="rId1"/>
        <a:stretch>
          <a:fillRect/>
        </a:stretch>
      </xdr:blipFill>
      <xdr:spPr>
        <a:xfrm>
          <a:off x="4505325" y="19050"/>
          <a:ext cx="2038350" cy="371475"/>
        </a:xfrm>
        <a:prstGeom prst="rect">
          <a:avLst/>
        </a:prstGeom>
        <a:noFill/>
        <a:ln w="9525" cmpd="sng">
          <a:noFill/>
        </a:ln>
      </xdr:spPr>
    </xdr:pic>
    <xdr:clientData/>
  </xdr:twoCellAnchor>
  <xdr:twoCellAnchor>
    <xdr:from>
      <xdr:col>0</xdr:col>
      <xdr:colOff>266700</xdr:colOff>
      <xdr:row>25</xdr:row>
      <xdr:rowOff>47625</xdr:rowOff>
    </xdr:from>
    <xdr:to>
      <xdr:col>11</xdr:col>
      <xdr:colOff>161925</xdr:colOff>
      <xdr:row>44</xdr:row>
      <xdr:rowOff>9525</xdr:rowOff>
    </xdr:to>
    <xdr:graphicFrame>
      <xdr:nvGraphicFramePr>
        <xdr:cNvPr id="2" name="Chart 3"/>
        <xdr:cNvGraphicFramePr/>
      </xdr:nvGraphicFramePr>
      <xdr:xfrm>
        <a:off x="266700" y="4086225"/>
        <a:ext cx="6286500" cy="303847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3</xdr:row>
      <xdr:rowOff>28575</xdr:rowOff>
    </xdr:from>
    <xdr:to>
      <xdr:col>11</xdr:col>
      <xdr:colOff>171450</xdr:colOff>
      <xdr:row>22</xdr:row>
      <xdr:rowOff>133350</xdr:rowOff>
    </xdr:to>
    <xdr:graphicFrame>
      <xdr:nvGraphicFramePr>
        <xdr:cNvPr id="3" name="Chart 5"/>
        <xdr:cNvGraphicFramePr/>
      </xdr:nvGraphicFramePr>
      <xdr:xfrm>
        <a:off x="257175" y="514350"/>
        <a:ext cx="6305550" cy="3171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0</xdr:row>
      <xdr:rowOff>28575</xdr:rowOff>
    </xdr:from>
    <xdr:to>
      <xdr:col>5</xdr:col>
      <xdr:colOff>2390775</xdr:colOff>
      <xdr:row>2</xdr:row>
      <xdr:rowOff>38100</xdr:rowOff>
    </xdr:to>
    <xdr:pic>
      <xdr:nvPicPr>
        <xdr:cNvPr id="1" name="Picture 2"/>
        <xdr:cNvPicPr preferRelativeResize="1">
          <a:picLocks noChangeAspect="1"/>
        </xdr:cNvPicPr>
      </xdr:nvPicPr>
      <xdr:blipFill>
        <a:blip r:embed="rId1"/>
        <a:stretch>
          <a:fillRect/>
        </a:stretch>
      </xdr:blipFill>
      <xdr:spPr>
        <a:xfrm>
          <a:off x="8305800" y="28575"/>
          <a:ext cx="1714500" cy="333375"/>
        </a:xfrm>
        <a:prstGeom prst="rect">
          <a:avLst/>
        </a:prstGeom>
        <a:noFill/>
        <a:ln w="9525" cmpd="sng">
          <a:noFill/>
        </a:ln>
      </xdr:spPr>
    </xdr:pic>
    <xdr:clientData/>
  </xdr:twoCellAnchor>
  <xdr:twoCellAnchor editAs="oneCell">
    <xdr:from>
      <xdr:col>5</xdr:col>
      <xdr:colOff>676275</xdr:colOff>
      <xdr:row>0</xdr:row>
      <xdr:rowOff>28575</xdr:rowOff>
    </xdr:from>
    <xdr:to>
      <xdr:col>5</xdr:col>
      <xdr:colOff>2390775</xdr:colOff>
      <xdr:row>2</xdr:row>
      <xdr:rowOff>38100</xdr:rowOff>
    </xdr:to>
    <xdr:pic>
      <xdr:nvPicPr>
        <xdr:cNvPr id="2" name="Picture 4"/>
        <xdr:cNvPicPr preferRelativeResize="1">
          <a:picLocks noChangeAspect="1"/>
        </xdr:cNvPicPr>
      </xdr:nvPicPr>
      <xdr:blipFill>
        <a:blip r:embed="rId1"/>
        <a:stretch>
          <a:fillRect/>
        </a:stretch>
      </xdr:blipFill>
      <xdr:spPr>
        <a:xfrm>
          <a:off x="8305800" y="28575"/>
          <a:ext cx="1714500"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1143000</xdr:colOff>
      <xdr:row>0</xdr:row>
      <xdr:rowOff>9525</xdr:rowOff>
    </xdr:from>
    <xdr:to>
      <xdr:col>3</xdr:col>
      <xdr:colOff>2857500</xdr:colOff>
      <xdr:row>2</xdr:row>
      <xdr:rowOff>19050</xdr:rowOff>
    </xdr:to>
    <xdr:pic>
      <xdr:nvPicPr>
        <xdr:cNvPr id="1" name="Picture 1"/>
        <xdr:cNvPicPr preferRelativeResize="1">
          <a:picLocks noChangeAspect="1"/>
        </xdr:cNvPicPr>
      </xdr:nvPicPr>
      <xdr:blipFill>
        <a:blip r:embed="rId1"/>
        <a:stretch>
          <a:fillRect/>
        </a:stretch>
      </xdr:blipFill>
      <xdr:spPr>
        <a:xfrm>
          <a:off x="7153275" y="9525"/>
          <a:ext cx="1714500"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21</xdr:row>
      <xdr:rowOff>9525</xdr:rowOff>
    </xdr:from>
    <xdr:to>
      <xdr:col>9</xdr:col>
      <xdr:colOff>19050</xdr:colOff>
      <xdr:row>27</xdr:row>
      <xdr:rowOff>66675</xdr:rowOff>
    </xdr:to>
    <xdr:pic>
      <xdr:nvPicPr>
        <xdr:cNvPr id="1" name="Picture 2"/>
        <xdr:cNvPicPr preferRelativeResize="1">
          <a:picLocks noChangeAspect="1"/>
        </xdr:cNvPicPr>
      </xdr:nvPicPr>
      <xdr:blipFill>
        <a:blip r:embed="rId1"/>
        <a:stretch>
          <a:fillRect/>
        </a:stretch>
      </xdr:blipFill>
      <xdr:spPr>
        <a:xfrm>
          <a:off x="180975" y="4638675"/>
          <a:ext cx="50958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0.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11.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arnercnr.colostate.edu/avprojects/globe/phenology/images/layout_growing.jpg"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image" Target="../media/image12.png"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image" Target="../media/image13.png"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14.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15.png"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image" Target="../media/image16.png"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image" Target="../media/image17.png"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15"/>
  <sheetViews>
    <sheetView showGridLines="0" workbookViewId="0" topLeftCell="A6">
      <selection activeCell="A7" sqref="A7:I7"/>
    </sheetView>
  </sheetViews>
  <sheetFormatPr defaultColWidth="9.140625" defaultRowHeight="12.75"/>
  <cols>
    <col min="1" max="8" width="9.140625" style="3" customWidth="1"/>
    <col min="9" max="9" width="12.28125" style="3" customWidth="1"/>
    <col min="10" max="16384" width="9.140625" style="3" customWidth="1"/>
  </cols>
  <sheetData>
    <row r="1" spans="1:9" ht="12.75" customHeight="1">
      <c r="A1" s="220" t="s">
        <v>158</v>
      </c>
      <c r="B1" s="201"/>
      <c r="C1" s="201"/>
      <c r="D1" s="201"/>
      <c r="E1" s="201"/>
      <c r="F1" s="201"/>
      <c r="G1" s="25"/>
      <c r="H1" s="25"/>
      <c r="I1" s="26"/>
    </row>
    <row r="2" spans="1:9" ht="12.75">
      <c r="A2" s="27"/>
      <c r="B2" s="16"/>
      <c r="C2" s="16"/>
      <c r="D2" s="16"/>
      <c r="E2" s="16"/>
      <c r="F2" s="16"/>
      <c r="G2" s="16"/>
      <c r="H2" s="16"/>
      <c r="I2" s="28"/>
    </row>
    <row r="3" spans="1:9" ht="76.5" customHeight="1">
      <c r="A3" s="217" t="s">
        <v>156</v>
      </c>
      <c r="B3" s="218"/>
      <c r="C3" s="218"/>
      <c r="D3" s="218"/>
      <c r="E3" s="218"/>
      <c r="F3" s="218"/>
      <c r="G3" s="218"/>
      <c r="H3" s="218"/>
      <c r="I3" s="219"/>
    </row>
    <row r="4" spans="1:9" ht="8.25" customHeight="1">
      <c r="A4" s="29" t="s">
        <v>58</v>
      </c>
      <c r="B4" s="13"/>
      <c r="C4" s="13"/>
      <c r="D4" s="13"/>
      <c r="E4" s="13"/>
      <c r="F4" s="13"/>
      <c r="G4" s="13"/>
      <c r="H4" s="13"/>
      <c r="I4" s="30"/>
    </row>
    <row r="5" spans="1:9" ht="49.5" customHeight="1">
      <c r="A5" s="217" t="s">
        <v>137</v>
      </c>
      <c r="B5" s="202"/>
      <c r="C5" s="202"/>
      <c r="D5" s="202"/>
      <c r="E5" s="202"/>
      <c r="F5" s="202"/>
      <c r="G5" s="202"/>
      <c r="H5" s="202"/>
      <c r="I5" s="203"/>
    </row>
    <row r="6" spans="1:9" ht="14.25" customHeight="1">
      <c r="A6" s="217"/>
      <c r="B6" s="202"/>
      <c r="C6" s="202"/>
      <c r="D6" s="202"/>
      <c r="E6" s="202"/>
      <c r="F6" s="202"/>
      <c r="G6" s="202"/>
      <c r="H6" s="202"/>
      <c r="I6" s="203"/>
    </row>
    <row r="7" spans="1:9" ht="91.5" customHeight="1">
      <c r="A7" s="217" t="s">
        <v>164</v>
      </c>
      <c r="B7" s="202"/>
      <c r="C7" s="202"/>
      <c r="D7" s="202"/>
      <c r="E7" s="202"/>
      <c r="F7" s="202"/>
      <c r="G7" s="202"/>
      <c r="H7" s="202"/>
      <c r="I7" s="203"/>
    </row>
    <row r="8" spans="1:9" ht="12" customHeight="1">
      <c r="A8" s="29"/>
      <c r="B8" s="13"/>
      <c r="C8" s="13"/>
      <c r="D8" s="13"/>
      <c r="E8" s="13"/>
      <c r="F8" s="13"/>
      <c r="G8" s="13"/>
      <c r="H8" s="13"/>
      <c r="I8" s="30"/>
    </row>
    <row r="9" spans="1:9" ht="38.25" customHeight="1">
      <c r="A9" s="217" t="s">
        <v>59</v>
      </c>
      <c r="B9" s="218"/>
      <c r="C9" s="218"/>
      <c r="D9" s="218"/>
      <c r="E9" s="218"/>
      <c r="F9" s="218"/>
      <c r="G9" s="218"/>
      <c r="H9" s="218"/>
      <c r="I9" s="219"/>
    </row>
    <row r="10" spans="1:9" ht="11.25" customHeight="1">
      <c r="A10" s="27"/>
      <c r="B10" s="16"/>
      <c r="C10" s="16"/>
      <c r="D10" s="16"/>
      <c r="E10" s="16"/>
      <c r="F10" s="16"/>
      <c r="G10" s="16"/>
      <c r="H10" s="16"/>
      <c r="I10" s="28"/>
    </row>
    <row r="11" spans="1:9" ht="76.5" customHeight="1">
      <c r="A11" s="217" t="s">
        <v>144</v>
      </c>
      <c r="B11" s="218"/>
      <c r="C11" s="218"/>
      <c r="D11" s="218"/>
      <c r="E11" s="218"/>
      <c r="F11" s="218"/>
      <c r="G11" s="218"/>
      <c r="H11" s="218"/>
      <c r="I11" s="219"/>
    </row>
    <row r="12" spans="1:9" ht="9" customHeight="1">
      <c r="A12" s="27"/>
      <c r="B12" s="16"/>
      <c r="C12" s="16"/>
      <c r="D12" s="16"/>
      <c r="E12" s="16"/>
      <c r="F12" s="16"/>
      <c r="G12" s="16"/>
      <c r="H12" s="16"/>
      <c r="I12" s="28"/>
    </row>
    <row r="13" spans="1:9" ht="25.5" customHeight="1">
      <c r="A13" s="217" t="s">
        <v>60</v>
      </c>
      <c r="B13" s="218"/>
      <c r="C13" s="218"/>
      <c r="D13" s="218"/>
      <c r="E13" s="218"/>
      <c r="F13" s="218"/>
      <c r="G13" s="218"/>
      <c r="H13" s="218"/>
      <c r="I13" s="219"/>
    </row>
    <row r="14" spans="1:9" ht="12.75">
      <c r="A14" s="27"/>
      <c r="B14" s="16"/>
      <c r="C14" s="16"/>
      <c r="D14" s="16"/>
      <c r="E14" s="16"/>
      <c r="F14" s="16"/>
      <c r="G14" s="16"/>
      <c r="H14" s="16"/>
      <c r="I14" s="28"/>
    </row>
    <row r="15" spans="1:9" ht="25.5" customHeight="1">
      <c r="A15" s="214" t="s">
        <v>7</v>
      </c>
      <c r="B15" s="215"/>
      <c r="C15" s="215"/>
      <c r="D15" s="215"/>
      <c r="E15" s="215"/>
      <c r="F15" s="215"/>
      <c r="G15" s="215"/>
      <c r="H15" s="215"/>
      <c r="I15" s="216"/>
    </row>
    <row r="18" ht="12.75"/>
    <row r="19" ht="12.75"/>
    <row r="20" ht="12.75"/>
    <row r="21" ht="12.75"/>
    <row r="22" ht="12.75"/>
    <row r="23" ht="12.75"/>
    <row r="24" ht="12.75"/>
    <row r="25" ht="12.75"/>
    <row r="26" ht="12.75"/>
  </sheetData>
  <mergeCells count="9">
    <mergeCell ref="A15:I15"/>
    <mergeCell ref="A13:I13"/>
    <mergeCell ref="A1:F1"/>
    <mergeCell ref="A3:I3"/>
    <mergeCell ref="A9:I9"/>
    <mergeCell ref="A11:I11"/>
    <mergeCell ref="A5:I5"/>
    <mergeCell ref="A7:I7"/>
    <mergeCell ref="A6:I6"/>
  </mergeCells>
  <printOptions/>
  <pageMargins left="0.75" right="0.75" top="1" bottom="1" header="0.5" footer="0.5"/>
  <pageSetup horizontalDpi="600" verticalDpi="600" orientation="portrait" r:id="rId3"/>
  <drawing r:id="rId1"/>
  <picture r:id="rId2"/>
</worksheet>
</file>

<file path=xl/worksheets/sheet2.xml><?xml version="1.0" encoding="utf-8"?>
<worksheet xmlns="http://schemas.openxmlformats.org/spreadsheetml/2006/main" xmlns:r="http://schemas.openxmlformats.org/officeDocument/2006/relationships">
  <sheetPr codeName="Sheet9">
    <pageSetUpPr fitToPage="1"/>
  </sheetPr>
  <dimension ref="A1:I23"/>
  <sheetViews>
    <sheetView showGridLines="0" workbookViewId="0" topLeftCell="A14">
      <selection activeCell="A1" sqref="A1:F1"/>
    </sheetView>
  </sheetViews>
  <sheetFormatPr defaultColWidth="9.140625" defaultRowHeight="12.75"/>
  <cols>
    <col min="1" max="8" width="9.140625" style="3" customWidth="1"/>
    <col min="9" max="9" width="12.28125" style="3" customWidth="1"/>
    <col min="10" max="16384" width="9.140625" style="3" customWidth="1"/>
  </cols>
  <sheetData>
    <row r="1" spans="1:9" ht="17.25" customHeight="1">
      <c r="A1" s="220" t="s">
        <v>150</v>
      </c>
      <c r="B1" s="201"/>
      <c r="C1" s="201"/>
      <c r="D1" s="201"/>
      <c r="E1" s="201"/>
      <c r="F1" s="201"/>
      <c r="G1" s="25"/>
      <c r="H1" s="25"/>
      <c r="I1" s="26"/>
    </row>
    <row r="2" spans="1:9" ht="17.25" customHeight="1">
      <c r="A2" s="27"/>
      <c r="B2" s="16"/>
      <c r="C2" s="16"/>
      <c r="D2" s="16"/>
      <c r="E2" s="16"/>
      <c r="F2" s="16"/>
      <c r="G2" s="16"/>
      <c r="H2" s="16"/>
      <c r="I2" s="28"/>
    </row>
    <row r="3" spans="1:9" ht="12.75" customHeight="1">
      <c r="A3" s="207" t="s">
        <v>146</v>
      </c>
      <c r="B3" s="208"/>
      <c r="C3" s="208"/>
      <c r="D3" s="208"/>
      <c r="E3" s="208"/>
      <c r="F3" s="208"/>
      <c r="G3" s="208"/>
      <c r="H3" s="208"/>
      <c r="I3" s="209"/>
    </row>
    <row r="4" spans="1:9" ht="9.75" customHeight="1">
      <c r="A4" s="27"/>
      <c r="B4" s="196"/>
      <c r="C4" s="196"/>
      <c r="D4" s="196"/>
      <c r="E4" s="196"/>
      <c r="F4" s="196"/>
      <c r="G4" s="196"/>
      <c r="H4" s="196"/>
      <c r="I4" s="197"/>
    </row>
    <row r="5" spans="1:9" ht="53.25" customHeight="1">
      <c r="A5" s="204" t="s">
        <v>151</v>
      </c>
      <c r="B5" s="202"/>
      <c r="C5" s="202"/>
      <c r="D5" s="202"/>
      <c r="E5" s="202"/>
      <c r="F5" s="202"/>
      <c r="G5" s="202"/>
      <c r="H5" s="202"/>
      <c r="I5" s="203"/>
    </row>
    <row r="6" spans="1:9" ht="6" customHeight="1">
      <c r="A6" s="27"/>
      <c r="B6" s="194"/>
      <c r="C6" s="194"/>
      <c r="D6" s="194"/>
      <c r="E6" s="194"/>
      <c r="F6" s="194"/>
      <c r="G6" s="194"/>
      <c r="H6" s="194"/>
      <c r="I6" s="195"/>
    </row>
    <row r="7" spans="1:9" ht="89.25" customHeight="1">
      <c r="A7" s="204" t="s">
        <v>0</v>
      </c>
      <c r="B7" s="202"/>
      <c r="C7" s="202"/>
      <c r="D7" s="202"/>
      <c r="E7" s="202"/>
      <c r="F7" s="202"/>
      <c r="G7" s="202"/>
      <c r="H7" s="202"/>
      <c r="I7" s="203"/>
    </row>
    <row r="8" spans="1:9" ht="12.75" customHeight="1">
      <c r="A8" s="27"/>
      <c r="B8" s="194"/>
      <c r="C8" s="194"/>
      <c r="D8" s="194"/>
      <c r="E8" s="194"/>
      <c r="F8" s="194"/>
      <c r="G8" s="194"/>
      <c r="H8" s="194"/>
      <c r="I8" s="195"/>
    </row>
    <row r="9" spans="1:9" ht="38.25" customHeight="1">
      <c r="A9" s="204" t="s">
        <v>1</v>
      </c>
      <c r="B9" s="202"/>
      <c r="C9" s="202"/>
      <c r="D9" s="202"/>
      <c r="E9" s="202"/>
      <c r="F9" s="202"/>
      <c r="G9" s="202"/>
      <c r="H9" s="202"/>
      <c r="I9" s="203"/>
    </row>
    <row r="10" spans="1:9" ht="12.75" customHeight="1">
      <c r="A10" s="27"/>
      <c r="B10" s="192"/>
      <c r="C10" s="192"/>
      <c r="D10" s="192"/>
      <c r="E10" s="192"/>
      <c r="F10" s="192"/>
      <c r="G10" s="192"/>
      <c r="H10" s="192"/>
      <c r="I10" s="193"/>
    </row>
    <row r="11" spans="1:9" s="84" customFormat="1" ht="79.5" customHeight="1">
      <c r="A11" s="204" t="s">
        <v>3</v>
      </c>
      <c r="B11" s="202"/>
      <c r="C11" s="202"/>
      <c r="D11" s="202"/>
      <c r="E11" s="202"/>
      <c r="F11" s="202"/>
      <c r="G11" s="202"/>
      <c r="H11" s="202"/>
      <c r="I11" s="203"/>
    </row>
    <row r="12" spans="1:9" ht="12.75" customHeight="1">
      <c r="A12" s="27"/>
      <c r="B12" s="16"/>
      <c r="C12" s="16"/>
      <c r="D12" s="16"/>
      <c r="E12" s="16"/>
      <c r="F12" s="16"/>
      <c r="G12" s="16"/>
      <c r="H12" s="16"/>
      <c r="I12" s="28"/>
    </row>
    <row r="13" spans="1:9" ht="100.5" customHeight="1">
      <c r="A13" s="204" t="s">
        <v>152</v>
      </c>
      <c r="B13" s="202"/>
      <c r="C13" s="202"/>
      <c r="D13" s="202"/>
      <c r="E13" s="202"/>
      <c r="F13" s="202"/>
      <c r="G13" s="202"/>
      <c r="H13" s="202"/>
      <c r="I13" s="203"/>
    </row>
    <row r="14" spans="1:9" ht="12.75" customHeight="1">
      <c r="A14" s="27"/>
      <c r="B14" s="16"/>
      <c r="C14" s="16"/>
      <c r="D14" s="16"/>
      <c r="E14" s="16"/>
      <c r="F14" s="16"/>
      <c r="G14" s="16"/>
      <c r="H14" s="16"/>
      <c r="I14" s="28"/>
    </row>
    <row r="15" spans="1:9" ht="51" customHeight="1">
      <c r="A15" s="204" t="s">
        <v>2</v>
      </c>
      <c r="B15" s="205"/>
      <c r="C15" s="205"/>
      <c r="D15" s="205"/>
      <c r="E15" s="205"/>
      <c r="F15" s="205"/>
      <c r="G15" s="205"/>
      <c r="H15" s="205"/>
      <c r="I15" s="206"/>
    </row>
    <row r="16" spans="1:9" ht="12.75" customHeight="1">
      <c r="A16" s="198"/>
      <c r="B16" s="191"/>
      <c r="C16" s="191"/>
      <c r="D16" s="191"/>
      <c r="E16" s="191"/>
      <c r="F16" s="191"/>
      <c r="G16" s="191"/>
      <c r="H16" s="191"/>
      <c r="I16" s="190"/>
    </row>
    <row r="17" spans="1:9" ht="53.25" customHeight="1">
      <c r="A17" s="204" t="s">
        <v>148</v>
      </c>
      <c r="B17" s="202"/>
      <c r="C17" s="202"/>
      <c r="D17" s="202"/>
      <c r="E17" s="202"/>
      <c r="F17" s="202"/>
      <c r="G17" s="202"/>
      <c r="H17" s="202"/>
      <c r="I17" s="203"/>
    </row>
    <row r="18" spans="1:9" ht="12.75" customHeight="1">
      <c r="A18" s="198"/>
      <c r="B18" s="191"/>
      <c r="C18" s="191"/>
      <c r="D18" s="191"/>
      <c r="E18" s="191"/>
      <c r="F18" s="191"/>
      <c r="G18" s="191"/>
      <c r="H18" s="191"/>
      <c r="I18" s="190"/>
    </row>
    <row r="19" spans="1:9" ht="25.5" customHeight="1">
      <c r="A19" s="210" t="s">
        <v>149</v>
      </c>
      <c r="B19" s="211"/>
      <c r="C19" s="211"/>
      <c r="D19" s="211"/>
      <c r="E19" s="211"/>
      <c r="F19" s="211"/>
      <c r="G19" s="211"/>
      <c r="H19" s="211"/>
      <c r="I19" s="206"/>
    </row>
    <row r="20" spans="1:9" ht="9.75" customHeight="1">
      <c r="A20" s="29"/>
      <c r="B20" s="18"/>
      <c r="C20" s="18"/>
      <c r="D20" s="18"/>
      <c r="E20" s="18"/>
      <c r="F20" s="18"/>
      <c r="G20" s="18"/>
      <c r="H20" s="18"/>
      <c r="I20" s="190"/>
    </row>
    <row r="21" spans="1:9" ht="14.25" customHeight="1">
      <c r="A21" s="217" t="s">
        <v>147</v>
      </c>
      <c r="B21" s="212"/>
      <c r="C21" s="212"/>
      <c r="D21" s="212"/>
      <c r="E21" s="212"/>
      <c r="F21" s="212"/>
      <c r="G21" s="212"/>
      <c r="H21" s="212"/>
      <c r="I21" s="203"/>
    </row>
    <row r="22" spans="1:9" ht="10.5" customHeight="1">
      <c r="A22" s="29"/>
      <c r="B22" s="18"/>
      <c r="C22" s="18"/>
      <c r="D22" s="18"/>
      <c r="E22" s="18"/>
      <c r="F22" s="18"/>
      <c r="G22" s="18"/>
      <c r="H22" s="18"/>
      <c r="I22" s="190"/>
    </row>
    <row r="23" spans="1:9" ht="51" customHeight="1">
      <c r="A23" s="214" t="s">
        <v>4</v>
      </c>
      <c r="B23" s="213"/>
      <c r="C23" s="213"/>
      <c r="D23" s="213"/>
      <c r="E23" s="213"/>
      <c r="F23" s="213"/>
      <c r="G23" s="213"/>
      <c r="H23" s="213"/>
      <c r="I23" s="221"/>
    </row>
  </sheetData>
  <sheetProtection sheet="1" objects="1" scenarios="1"/>
  <mergeCells count="12">
    <mergeCell ref="A17:I17"/>
    <mergeCell ref="A19:I19"/>
    <mergeCell ref="A21:I21"/>
    <mergeCell ref="A23:I23"/>
    <mergeCell ref="A15:I15"/>
    <mergeCell ref="A13:I13"/>
    <mergeCell ref="A1:F1"/>
    <mergeCell ref="A3:I3"/>
    <mergeCell ref="A9:I9"/>
    <mergeCell ref="A11:I11"/>
    <mergeCell ref="A7:I7"/>
    <mergeCell ref="A5:I5"/>
  </mergeCells>
  <printOptions/>
  <pageMargins left="0.75" right="0.75" top="1" bottom="1" header="0.5" footer="0.5"/>
  <pageSetup fitToHeight="1" fitToWidth="1" horizontalDpi="600" verticalDpi="600" orientation="portrait" scale="91" r:id="rId3"/>
  <drawing r:id="rId1"/>
  <picture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K69"/>
  <sheetViews>
    <sheetView showGridLines="0" workbookViewId="0" topLeftCell="A1">
      <selection activeCell="B15" sqref="B15"/>
    </sheetView>
  </sheetViews>
  <sheetFormatPr defaultColWidth="9.140625" defaultRowHeight="12.75"/>
  <cols>
    <col min="1" max="1" width="52.28125" style="5" customWidth="1"/>
    <col min="2" max="2" width="26.140625" style="5" customWidth="1"/>
    <col min="3" max="3" width="29.57421875" style="181" customWidth="1"/>
    <col min="4" max="4" width="81.8515625" style="5" customWidth="1"/>
    <col min="5" max="10" width="7.57421875" style="5" customWidth="1"/>
    <col min="11" max="11" width="7.57421875" style="3" customWidth="1"/>
    <col min="12" max="16384" width="9.140625" style="3" customWidth="1"/>
  </cols>
  <sheetData>
    <row r="1" ht="12.75">
      <c r="A1" s="47" t="s">
        <v>17</v>
      </c>
    </row>
    <row r="2" ht="12.75"/>
    <row r="3" spans="1:10" ht="12.75">
      <c r="A3" s="39" t="s">
        <v>117</v>
      </c>
      <c r="B3" s="43"/>
      <c r="C3" s="182"/>
      <c r="D3" s="83"/>
      <c r="E3" s="3"/>
      <c r="F3" s="3"/>
      <c r="G3" s="3"/>
      <c r="H3" s="3"/>
      <c r="I3" s="3"/>
      <c r="J3" s="3"/>
    </row>
    <row r="4" spans="1:10" ht="12.75">
      <c r="A4" s="37" t="s">
        <v>16</v>
      </c>
      <c r="B4" s="85">
        <v>30000</v>
      </c>
      <c r="C4" s="183"/>
      <c r="D4" s="3"/>
      <c r="E4" s="3"/>
      <c r="F4" s="3"/>
      <c r="G4" s="3"/>
      <c r="H4" s="3"/>
      <c r="I4" s="3"/>
      <c r="J4" s="3"/>
    </row>
    <row r="5" spans="1:10" ht="12.75" customHeight="1">
      <c r="A5" s="189" t="s">
        <v>72</v>
      </c>
      <c r="B5" s="86">
        <v>7</v>
      </c>
      <c r="C5" s="183"/>
      <c r="D5" s="3"/>
      <c r="E5" s="3"/>
      <c r="F5" s="3"/>
      <c r="G5" s="3"/>
      <c r="H5" s="3"/>
      <c r="I5" s="3"/>
      <c r="J5" s="3"/>
    </row>
    <row r="6" spans="1:10" ht="12.75">
      <c r="A6" s="39" t="s">
        <v>18</v>
      </c>
      <c r="B6" s="170"/>
      <c r="C6" s="184"/>
      <c r="D6" s="3"/>
      <c r="E6" s="3"/>
      <c r="F6" s="3"/>
      <c r="G6" s="3"/>
      <c r="H6" s="3"/>
      <c r="I6" s="3"/>
      <c r="J6" s="3"/>
    </row>
    <row r="7" spans="1:10" ht="24.75" customHeight="1">
      <c r="A7" s="48" t="s">
        <v>73</v>
      </c>
      <c r="B7" s="85"/>
      <c r="C7" s="184"/>
      <c r="D7" s="3"/>
      <c r="E7" s="3"/>
      <c r="F7" s="3"/>
      <c r="G7" s="3"/>
      <c r="H7" s="3"/>
      <c r="I7" s="3"/>
      <c r="J7" s="3"/>
    </row>
    <row r="8" spans="1:10" ht="22.5" customHeight="1">
      <c r="A8" s="35" t="str">
        <f>IF(Lookup!A9="no","-","What type of rate do you have?")</f>
        <v>What type of rate do you have?</v>
      </c>
      <c r="B8" s="129"/>
      <c r="C8" s="184"/>
      <c r="D8" s="3"/>
      <c r="E8" s="3"/>
      <c r="F8" s="3"/>
      <c r="G8" s="3"/>
      <c r="H8" s="3"/>
      <c r="I8" s="3"/>
      <c r="J8" s="3"/>
    </row>
    <row r="9" spans="1:10" ht="12.75">
      <c r="A9" s="35" t="str">
        <f>IF(Lookup!A9="no","-",IF(Lookup!B9="Per Gallon","Cost per 1000 gallons ($)",IF(Lookup!B9="fixed","Monthly Rate ($)","Fixed Rate ($/Month)")))</f>
        <v>Cost per 1000 gallons ($)</v>
      </c>
      <c r="B9" s="126">
        <v>3</v>
      </c>
      <c r="C9" s="184">
        <f>IF(A9="-","",IF(B9="","&lt;---- Fill in this cell",""))</f>
      </c>
      <c r="D9" s="3"/>
      <c r="E9" s="3"/>
      <c r="F9" s="3"/>
      <c r="G9" s="3"/>
      <c r="H9" s="3"/>
      <c r="I9" s="3"/>
      <c r="J9" s="3"/>
    </row>
    <row r="10" spans="1:10" ht="12.75">
      <c r="A10" s="35" t="str">
        <f>IF(Lookup!A9="no","-",IF(Lookup!B9="Per Gallon","-",IF(Lookup!B9="fixed","-","Per Gallon Rate ($/1000 gallons)")))</f>
        <v>-</v>
      </c>
      <c r="B10" s="126"/>
      <c r="C10" s="184">
        <f>IF(A10="-","",IF(B10="","&lt;---- Fill in this cell",""))</f>
      </c>
      <c r="D10" s="3"/>
      <c r="E10" s="3"/>
      <c r="F10" s="3"/>
      <c r="G10" s="3"/>
      <c r="H10" s="3"/>
      <c r="I10" s="3"/>
      <c r="J10" s="3"/>
    </row>
    <row r="11" spans="1:10" ht="12.75">
      <c r="A11" s="49" t="str">
        <f>IF(Lookup!A9="no","-",IF(Lookup!B9="Per Gallon","-",IF(Lookup!B9="fixed","-","How many gallons per month does the fixed rate cover?")))</f>
        <v>-</v>
      </c>
      <c r="B11" s="127"/>
      <c r="C11" s="184">
        <f>IF(A11="-","",IF(B11="","&lt;---- Fill in this cell",""))</f>
      </c>
      <c r="D11" s="3"/>
      <c r="E11" s="3"/>
      <c r="F11" s="3"/>
      <c r="G11" s="3"/>
      <c r="H11" s="3"/>
      <c r="I11" s="3"/>
      <c r="J11" s="3"/>
    </row>
    <row r="12" spans="1:10" ht="12.75">
      <c r="A12" s="60" t="s">
        <v>116</v>
      </c>
      <c r="B12" s="171"/>
      <c r="C12" s="184"/>
      <c r="D12" s="3"/>
      <c r="E12" s="3"/>
      <c r="F12" s="3"/>
      <c r="G12" s="3"/>
      <c r="H12" s="3"/>
      <c r="I12" s="3"/>
      <c r="J12" s="3"/>
    </row>
    <row r="13" spans="1:10" ht="24.75" customHeight="1">
      <c r="A13" s="49" t="s">
        <v>106</v>
      </c>
      <c r="B13" s="87"/>
      <c r="C13" s="184"/>
      <c r="D13" s="3"/>
      <c r="E13" s="3"/>
      <c r="F13" s="3"/>
      <c r="G13" s="3"/>
      <c r="H13" s="3"/>
      <c r="I13" s="3"/>
      <c r="J13" s="3"/>
    </row>
    <row r="14" spans="1:10" ht="12.75">
      <c r="A14" s="49" t="str">
        <f>IF(Lookup!C9="An onsite employee","-","What is the landscaper's travel time (in minutes)?")</f>
        <v>What is the landscaper's travel time (in minutes)?</v>
      </c>
      <c r="B14" s="87">
        <v>30</v>
      </c>
      <c r="C14" s="184">
        <f>IF(A14="-","",IF(B14="","&lt;---- Fill in this cell",""))</f>
      </c>
      <c r="D14" s="3"/>
      <c r="E14" s="3"/>
      <c r="F14" s="3"/>
      <c r="G14" s="3"/>
      <c r="H14" s="3"/>
      <c r="I14" s="3"/>
      <c r="J14" s="3"/>
    </row>
    <row r="15" spans="1:10" ht="12.75">
      <c r="A15" s="49" t="str">
        <f>IF(Lookup!C9="An onsite employee","-","How many times does the firm visit per year?")</f>
        <v>How many times does the firm visit per year?</v>
      </c>
      <c r="B15" s="87">
        <v>6</v>
      </c>
      <c r="C15" s="184">
        <f>IF(A15="-","",IF(B15="","&lt;---- Fill in this cell",""))</f>
      </c>
      <c r="D15" s="3"/>
      <c r="E15" s="3"/>
      <c r="F15" s="3"/>
      <c r="G15" s="3"/>
      <c r="H15" s="3"/>
      <c r="I15" s="3"/>
      <c r="J15" s="3"/>
    </row>
    <row r="16" spans="1:10" ht="12.75">
      <c r="A16" s="39" t="s">
        <v>19</v>
      </c>
      <c r="B16" s="128"/>
      <c r="C16" s="184"/>
      <c r="D16" s="3"/>
      <c r="E16" s="3"/>
      <c r="F16" s="3"/>
      <c r="G16" s="3"/>
      <c r="H16" s="3"/>
      <c r="I16" s="3"/>
      <c r="J16" s="3"/>
    </row>
    <row r="17" spans="1:10" ht="12.75">
      <c r="A17" s="42" t="s">
        <v>81</v>
      </c>
      <c r="B17" s="85">
        <v>20000</v>
      </c>
      <c r="C17" s="222">
        <f>IF(SUM(B17:B19)&lt;&gt;B4,"The sum of the areas of each zone in your current landscape must equal your total landscape area","")</f>
      </c>
      <c r="E17" s="3"/>
      <c r="F17" s="3"/>
      <c r="G17" s="3"/>
      <c r="H17" s="3"/>
      <c r="I17" s="3"/>
      <c r="J17" s="3"/>
    </row>
    <row r="18" spans="1:10" ht="12.75">
      <c r="A18" s="9" t="s">
        <v>82</v>
      </c>
      <c r="B18" s="129">
        <v>5000</v>
      </c>
      <c r="C18" s="222"/>
      <c r="E18" s="3"/>
      <c r="F18" s="3"/>
      <c r="G18" s="3"/>
      <c r="H18" s="3"/>
      <c r="I18" s="3"/>
      <c r="J18" s="3"/>
    </row>
    <row r="19" spans="1:10" ht="12.75">
      <c r="A19" s="33" t="s">
        <v>83</v>
      </c>
      <c r="B19" s="86">
        <v>5000</v>
      </c>
      <c r="C19" s="223"/>
      <c r="E19" s="3"/>
      <c r="F19" s="3"/>
      <c r="G19" s="3"/>
      <c r="H19" s="3"/>
      <c r="I19" s="3"/>
      <c r="J19" s="3"/>
    </row>
    <row r="20" spans="1:10" ht="12.75">
      <c r="A20" s="42" t="s">
        <v>84</v>
      </c>
      <c r="B20" s="85">
        <v>2500</v>
      </c>
      <c r="C20" s="222">
        <f>IF(SUM(B20:B23)&lt;&gt;B4,"The sum of the areas of type of vegetation in your current landscape must equal your total landscape area","")</f>
      </c>
      <c r="E20" s="3"/>
      <c r="F20" s="3"/>
      <c r="G20" s="3"/>
      <c r="H20" s="3"/>
      <c r="I20" s="3"/>
      <c r="J20" s="3"/>
    </row>
    <row r="21" spans="1:10" ht="12.75">
      <c r="A21" s="9" t="s">
        <v>85</v>
      </c>
      <c r="B21" s="129">
        <v>24000</v>
      </c>
      <c r="C21" s="222"/>
      <c r="E21" s="3"/>
      <c r="F21" s="3"/>
      <c r="G21" s="3"/>
      <c r="H21" s="3"/>
      <c r="I21" s="3"/>
      <c r="J21" s="3"/>
    </row>
    <row r="22" spans="1:10" ht="12.75">
      <c r="A22" s="9" t="s">
        <v>86</v>
      </c>
      <c r="B22" s="129">
        <v>2500</v>
      </c>
      <c r="C22" s="222"/>
      <c r="E22" s="3"/>
      <c r="F22" s="3"/>
      <c r="G22" s="3"/>
      <c r="H22" s="3"/>
      <c r="I22" s="3"/>
      <c r="J22" s="3"/>
    </row>
    <row r="23" spans="1:10" ht="12.75">
      <c r="A23" s="33" t="s">
        <v>87</v>
      </c>
      <c r="B23" s="86">
        <v>1000</v>
      </c>
      <c r="C23" s="222"/>
      <c r="F23" s="3"/>
      <c r="G23" s="3"/>
      <c r="H23" s="3"/>
      <c r="I23" s="3"/>
      <c r="J23" s="3"/>
    </row>
    <row r="24" spans="1:10" ht="12.75">
      <c r="A24" s="33" t="s">
        <v>70</v>
      </c>
      <c r="B24" s="99">
        <v>2</v>
      </c>
      <c r="C24" s="186"/>
      <c r="E24" s="3"/>
      <c r="F24" s="3"/>
      <c r="G24" s="3"/>
      <c r="H24" s="3"/>
      <c r="I24" s="3"/>
      <c r="J24" s="3"/>
    </row>
    <row r="25" spans="1:10" ht="12.75">
      <c r="A25" s="42" t="s">
        <v>69</v>
      </c>
      <c r="B25" s="100">
        <v>2</v>
      </c>
      <c r="C25" s="187"/>
      <c r="E25" s="3"/>
      <c r="F25" s="3"/>
      <c r="G25" s="3"/>
      <c r="H25" s="3"/>
      <c r="I25" s="3"/>
      <c r="J25" s="3"/>
    </row>
    <row r="26" spans="1:3" ht="12.75">
      <c r="A26" s="41" t="s">
        <v>14</v>
      </c>
      <c r="B26" s="172"/>
      <c r="C26" s="187"/>
    </row>
    <row r="27" spans="1:11" ht="38.25" customHeight="1">
      <c r="A27" s="77" t="s">
        <v>113</v>
      </c>
      <c r="B27" s="130">
        <v>15000</v>
      </c>
      <c r="C27" s="185">
        <f>IF(B27&gt;B4,"The area of the conversion cannot be greater than the total area of your landscape.","")</f>
      </c>
      <c r="K27" s="5"/>
    </row>
    <row r="28" spans="1:11" ht="12.75">
      <c r="A28" s="42" t="s">
        <v>81</v>
      </c>
      <c r="B28" s="131">
        <v>5000</v>
      </c>
      <c r="C28" s="222">
        <f>IF(SUM(B28:B30)&lt;&gt;B4,"The sum of the areas of each zone in your retrofit must equal your total landscape area from cell B4","")</f>
      </c>
      <c r="K28" s="5"/>
    </row>
    <row r="29" spans="1:11" ht="12.75">
      <c r="A29" s="9" t="s">
        <v>82</v>
      </c>
      <c r="B29" s="131">
        <v>5000</v>
      </c>
      <c r="C29" s="222"/>
      <c r="K29" s="5"/>
    </row>
    <row r="30" spans="1:11" ht="12.75">
      <c r="A30" s="33" t="s">
        <v>83</v>
      </c>
      <c r="B30" s="131">
        <v>20000</v>
      </c>
      <c r="C30" s="222"/>
      <c r="K30" s="5"/>
    </row>
    <row r="31" spans="1:11" ht="12.75">
      <c r="A31" s="42" t="s">
        <v>84</v>
      </c>
      <c r="B31" s="132">
        <v>1000</v>
      </c>
      <c r="C31" s="222">
        <f>IF(SUM(B31:B34)&lt;&gt;B4,"The sum of the areas of type of vegetation in your retrofit must equal your total landscape area from cell B4","")</f>
      </c>
      <c r="K31" s="5"/>
    </row>
    <row r="32" spans="1:11" ht="12.75">
      <c r="A32" s="9" t="s">
        <v>85</v>
      </c>
      <c r="B32" s="131">
        <v>10500</v>
      </c>
      <c r="C32" s="222"/>
      <c r="K32" s="5"/>
    </row>
    <row r="33" spans="1:11" ht="12.75">
      <c r="A33" s="9" t="s">
        <v>86</v>
      </c>
      <c r="B33" s="131">
        <v>15000</v>
      </c>
      <c r="C33" s="222"/>
      <c r="K33" s="5"/>
    </row>
    <row r="34" spans="1:11" ht="12.75">
      <c r="A34" s="33" t="s">
        <v>87</v>
      </c>
      <c r="B34" s="133">
        <v>3500</v>
      </c>
      <c r="C34" s="222"/>
      <c r="D34" s="36"/>
      <c r="K34" s="5"/>
    </row>
    <row r="35" spans="1:3" ht="12.75">
      <c r="A35" s="33" t="s">
        <v>114</v>
      </c>
      <c r="B35" s="99">
        <v>1</v>
      </c>
      <c r="C35" s="187"/>
    </row>
    <row r="36" spans="1:3" ht="12.75">
      <c r="A36" s="42" t="s">
        <v>115</v>
      </c>
      <c r="B36" s="100">
        <v>1</v>
      </c>
      <c r="C36" s="187"/>
    </row>
    <row r="37" spans="1:3" ht="15.75" customHeight="1">
      <c r="A37" s="41" t="s">
        <v>13</v>
      </c>
      <c r="B37" s="172"/>
      <c r="C37" s="187"/>
    </row>
    <row r="38" spans="1:3" ht="29.25" customHeight="1">
      <c r="A38" s="48" t="s">
        <v>74</v>
      </c>
      <c r="B38" s="85"/>
      <c r="C38" s="187"/>
    </row>
    <row r="39" spans="1:3" ht="12.75">
      <c r="A39" s="50" t="str">
        <f>IF(Lookup!D9="no","-","$/Square Foot")</f>
        <v>$/Square Foot</v>
      </c>
      <c r="B39" s="88"/>
      <c r="C39" s="184" t="str">
        <f>IF(A39="-","",IF(B39="","&lt;---- Fill in this cell",""))</f>
        <v>&lt;---- Fill in this cell</v>
      </c>
    </row>
    <row r="40" spans="1:3" ht="12.75">
      <c r="A40" s="50" t="str">
        <f>IF(Lookup!D9="no","-","Max Rebate ($) (Leave blank if there is no max)")</f>
        <v>Max Rebate ($) (Leave blank if there is no max)</v>
      </c>
      <c r="B40" s="134">
        <v>5000</v>
      </c>
      <c r="C40" s="184">
        <f>IF(A40="-","",IF(B40="","&lt;---- Fill in this cell",""))</f>
      </c>
    </row>
    <row r="41" spans="1:10" ht="12.75">
      <c r="A41" s="135" t="s">
        <v>110</v>
      </c>
      <c r="B41" s="173"/>
      <c r="C41" s="184"/>
      <c r="G41" s="3"/>
      <c r="H41" s="3"/>
      <c r="I41" s="3"/>
      <c r="J41" s="3"/>
    </row>
    <row r="42" spans="1:10" ht="26.25" customHeight="1">
      <c r="A42" s="9" t="s">
        <v>132</v>
      </c>
      <c r="B42" s="174"/>
      <c r="C42" s="184"/>
      <c r="G42" s="3"/>
      <c r="H42" s="3"/>
      <c r="I42" s="3"/>
      <c r="J42" s="3"/>
    </row>
    <row r="43" spans="1:10" ht="26.25" customHeight="1">
      <c r="A43" s="9" t="str">
        <f>IF(Lookup!E9="Yes","Is your rate measured by weight or volume?","-")</f>
        <v>Is your rate measured by weight or volume?</v>
      </c>
      <c r="B43" s="174"/>
      <c r="C43" s="184"/>
      <c r="G43" s="3"/>
      <c r="H43" s="3"/>
      <c r="I43" s="3"/>
      <c r="J43" s="3"/>
    </row>
    <row r="44" spans="1:10" ht="12.75">
      <c r="A44" s="9" t="str">
        <f>IF(Lookup!E9="Yes",IF(Lookup!F9="Volume","What is your rate? ($/cubic foot)","What is your rate? ($/pound)"),"-")</f>
        <v>What is your rate? ($/cubic foot)</v>
      </c>
      <c r="B44" s="126">
        <v>20</v>
      </c>
      <c r="C44" s="184">
        <f>IF(A44="-","",IF(B44="","&lt;---- Fill in this cell",""))</f>
      </c>
      <c r="G44" s="3"/>
      <c r="H44" s="3"/>
      <c r="I44" s="3"/>
      <c r="J44" s="3"/>
    </row>
    <row r="45" spans="1:10" ht="25.5" customHeight="1">
      <c r="A45" s="138" t="str">
        <f>IF(Lookup!E9="Yes",IF(Lookup!F9="Volume","Estimate cubic feet of yard waste your current landscape generates per month in the growing season.","Estimate pounds of yard waste your current landscape generates per month in the growing season."),"-")</f>
        <v>Estimate cubic feet of yard waste your current landscape generates per month in the growing season.</v>
      </c>
      <c r="B45" s="131">
        <v>200</v>
      </c>
      <c r="C45" s="184">
        <f>IF(A45="-","",IF(B45="","&lt;---- Fill in this cell",""))</f>
      </c>
      <c r="G45" s="3"/>
      <c r="H45" s="3"/>
      <c r="I45" s="3"/>
      <c r="J45" s="3"/>
    </row>
    <row r="46" spans="1:10" ht="25.5" customHeight="1">
      <c r="A46" s="139" t="str">
        <f>IF(Lookup!E9="Yes",IF(Lookup!F9="Volume","Estimate cubic feet of yard waste your water saving retrofit will generate per month in the growing season","Estimate pounds of yard waste your water saving retrofit will generate per month in the growing season."),"-")</f>
        <v>Estimate cubic feet of yard waste your water saving retrofit will generate per month in the growing season</v>
      </c>
      <c r="B46" s="133">
        <v>150</v>
      </c>
      <c r="C46" s="184">
        <f>IF(A46="-","",IF(B46="","&lt;---- Fill in this cell",""))</f>
      </c>
      <c r="G46" s="3"/>
      <c r="H46" s="3"/>
      <c r="I46" s="3"/>
      <c r="J46" s="3"/>
    </row>
    <row r="47" spans="7:10" ht="12.75">
      <c r="G47" s="3"/>
      <c r="H47" s="3"/>
      <c r="I47" s="3"/>
      <c r="J47" s="3"/>
    </row>
    <row r="48" spans="7:10" ht="12.75">
      <c r="G48" s="3"/>
      <c r="H48" s="3"/>
      <c r="I48" s="3"/>
      <c r="J48" s="3"/>
    </row>
    <row r="49" spans="7:10" ht="12.75">
      <c r="G49" s="3"/>
      <c r="H49" s="3"/>
      <c r="I49" s="3"/>
      <c r="J49" s="3"/>
    </row>
    <row r="50" spans="7:10" ht="12.75">
      <c r="G50" s="3"/>
      <c r="H50" s="3"/>
      <c r="I50" s="3"/>
      <c r="J50" s="3"/>
    </row>
    <row r="51" spans="7:10" ht="12.75">
      <c r="G51" s="3"/>
      <c r="H51" s="3"/>
      <c r="I51" s="3"/>
      <c r="J51" s="3"/>
    </row>
    <row r="52" spans="7:10" ht="12.75">
      <c r="G52" s="3"/>
      <c r="H52" s="3"/>
      <c r="I52" s="3"/>
      <c r="J52" s="3"/>
    </row>
    <row r="53" spans="7:10" ht="12.75">
      <c r="G53" s="3"/>
      <c r="H53" s="3"/>
      <c r="I53" s="3"/>
      <c r="J53" s="3"/>
    </row>
    <row r="54" spans="7:10" ht="12.75">
      <c r="G54" s="3"/>
      <c r="H54" s="3"/>
      <c r="I54" s="3"/>
      <c r="J54" s="3"/>
    </row>
    <row r="55" spans="7:10" ht="12.75" customHeight="1">
      <c r="G55" s="3"/>
      <c r="H55" s="3"/>
      <c r="I55" s="3"/>
      <c r="J55" s="3"/>
    </row>
    <row r="56" spans="7:10" ht="12.75">
      <c r="G56" s="3"/>
      <c r="H56" s="3"/>
      <c r="I56" s="3"/>
      <c r="J56" s="3"/>
    </row>
    <row r="57" spans="7:10" ht="12.75">
      <c r="G57" s="3"/>
      <c r="H57" s="3"/>
      <c r="I57" s="3"/>
      <c r="J57" s="3"/>
    </row>
    <row r="58" spans="7:10" ht="12.75">
      <c r="G58" s="3"/>
      <c r="H58" s="3"/>
      <c r="I58" s="3"/>
      <c r="J58" s="3"/>
    </row>
    <row r="59" spans="7:10" ht="12.75">
      <c r="G59" s="3"/>
      <c r="H59" s="3"/>
      <c r="I59" s="3"/>
      <c r="J59" s="3"/>
    </row>
    <row r="60" spans="7:10" ht="12.75">
      <c r="G60" s="3"/>
      <c r="H60" s="3"/>
      <c r="I60" s="3"/>
      <c r="J60" s="3"/>
    </row>
    <row r="61" spans="7:10" ht="12.75">
      <c r="G61" s="3"/>
      <c r="H61" s="3"/>
      <c r="I61" s="3"/>
      <c r="J61" s="3"/>
    </row>
    <row r="62" spans="7:10" ht="12.75">
      <c r="G62" s="3"/>
      <c r="H62" s="3"/>
      <c r="I62" s="3"/>
      <c r="J62" s="3"/>
    </row>
    <row r="64" spans="1:2" ht="12.75">
      <c r="A64" s="84"/>
      <c r="B64" s="84"/>
    </row>
    <row r="65" spans="1:2" ht="12.75">
      <c r="A65" s="84"/>
      <c r="B65" s="84"/>
    </row>
    <row r="66" spans="1:2" ht="12.75">
      <c r="A66" s="84"/>
      <c r="B66" s="84"/>
    </row>
    <row r="67" spans="1:2" ht="12.75">
      <c r="A67" s="84"/>
      <c r="B67" s="84"/>
    </row>
    <row r="68" ht="12.75">
      <c r="B68" s="7"/>
    </row>
    <row r="69" ht="12.75">
      <c r="B69" s="7"/>
    </row>
  </sheetData>
  <sheetProtection sheet="1" objects="1" scenarios="1"/>
  <mergeCells count="4">
    <mergeCell ref="C17:C19"/>
    <mergeCell ref="C20:C23"/>
    <mergeCell ref="C28:C30"/>
    <mergeCell ref="C31:C34"/>
  </mergeCells>
  <dataValidations count="1">
    <dataValidation type="decimal" allowBlank="1" showInputMessage="1" showErrorMessage="1" sqref="B5">
      <formula1>1</formula1>
      <formula2>12</formula2>
    </dataValidation>
  </dataValidations>
  <hyperlinks>
    <hyperlink ref="A5" r:id="rId1" display="How long is your growing season (in months)?"/>
  </hyperlinks>
  <printOptions horizontalCentered="1"/>
  <pageMargins left="0.75" right="0.75" top="1" bottom="1" header="0.5" footer="0.5"/>
  <pageSetup fitToHeight="1" fitToWidth="1" horizontalDpi="600" verticalDpi="600" orientation="portrait" scale="92" r:id="rId6"/>
  <drawing r:id="rId4"/>
  <legacyDrawing r:id="rId3"/>
  <picture r:id="rId5"/>
</worksheet>
</file>

<file path=xl/worksheets/sheet4.xml><?xml version="1.0" encoding="utf-8"?>
<worksheet xmlns="http://schemas.openxmlformats.org/spreadsheetml/2006/main" xmlns:r="http://schemas.openxmlformats.org/officeDocument/2006/relationships">
  <sheetPr codeName="Sheet3">
    <pageSetUpPr fitToPage="1"/>
  </sheetPr>
  <dimension ref="A1:L48"/>
  <sheetViews>
    <sheetView showGridLines="0" workbookViewId="0" topLeftCell="A1">
      <selection activeCell="G19" sqref="G19"/>
    </sheetView>
  </sheetViews>
  <sheetFormatPr defaultColWidth="9.140625" defaultRowHeight="12.75"/>
  <cols>
    <col min="1" max="1" width="3.28125" style="5" customWidth="1"/>
    <col min="2" max="2" width="41.421875" style="5" customWidth="1"/>
    <col min="3" max="4" width="18.7109375" style="5" customWidth="1"/>
    <col min="5" max="5" width="9.140625" style="95" customWidth="1"/>
    <col min="6" max="8" width="9.140625" style="5" customWidth="1"/>
    <col min="9" max="12" width="7.57421875" style="5" customWidth="1"/>
    <col min="13" max="13" width="7.57421875" style="3" customWidth="1"/>
    <col min="14" max="16384" width="9.140625" style="3" customWidth="1"/>
  </cols>
  <sheetData>
    <row r="1" spans="1:4" ht="12.75">
      <c r="A1" s="224" t="s">
        <v>159</v>
      </c>
      <c r="B1" s="224"/>
      <c r="D1" s="47"/>
    </row>
    <row r="2" ht="12.75"/>
    <row r="3" spans="2:12" ht="12.75">
      <c r="B3" s="32" t="s">
        <v>63</v>
      </c>
      <c r="C3" s="56" t="s">
        <v>28</v>
      </c>
      <c r="D3" s="62" t="s">
        <v>26</v>
      </c>
      <c r="E3" s="95" t="s">
        <v>65</v>
      </c>
      <c r="F3" s="3"/>
      <c r="G3" s="3"/>
      <c r="H3" s="3"/>
      <c r="I3" s="3"/>
      <c r="J3" s="3"/>
      <c r="K3" s="3"/>
      <c r="L3" s="3"/>
    </row>
    <row r="4" spans="2:12" ht="12.75">
      <c r="B4" s="109" t="s">
        <v>8</v>
      </c>
      <c r="C4" s="110">
        <v>0</v>
      </c>
      <c r="D4" s="111">
        <v>0</v>
      </c>
      <c r="E4" s="96">
        <f>AVERAGE(C4:D4)</f>
        <v>0</v>
      </c>
      <c r="F4" s="3"/>
      <c r="G4" s="3"/>
      <c r="H4" s="3"/>
      <c r="I4" s="3"/>
      <c r="J4" s="3"/>
      <c r="K4" s="3"/>
      <c r="L4" s="3"/>
    </row>
    <row r="5" spans="2:12" ht="12.75">
      <c r="B5" s="37" t="s">
        <v>27</v>
      </c>
      <c r="C5" s="57">
        <f>(Inputs!$B17*Inputs!$B5*'Cost Data'!$B7*'Cost Data'!$C13)+(Inputs!$B18*Inputs!$B5*'Cost Data'!$B7*'Cost Data'!$C14)</f>
        <v>261919</v>
      </c>
      <c r="D5" s="55">
        <f>(Inputs!$B17*Inputs!$B5*'Cost Data'!$B7*'Cost Data'!$D13)+(Inputs!$B18*Inputs!$B5*'Cost Data'!$B7*'Cost Data'!$D14)</f>
        <v>539245</v>
      </c>
      <c r="E5" s="97">
        <f aca="true" t="shared" si="0" ref="E5:E37">AVERAGE(C5:D5)</f>
        <v>400582</v>
      </c>
      <c r="F5" s="3"/>
      <c r="G5" s="3"/>
      <c r="H5" s="3"/>
      <c r="I5" s="3"/>
      <c r="J5" s="3"/>
      <c r="K5" s="3"/>
      <c r="L5" s="3"/>
    </row>
    <row r="6" spans="2:12" ht="12.75">
      <c r="B6" s="51" t="s">
        <v>153</v>
      </c>
      <c r="C6" s="72">
        <f>IF(Lookup!$A9="no",0,IF(Lookup!$B9="Fixed",Inputs!$B9*12,IF(Lookup!$B9="Per Gallon",Inputs!$B9*('Cost Calculator'!C5/1000),(Inputs!$B9*12)+IF(C5&lt;=Inputs!$B11*Inputs!$B5,0,(('Cost Calculator'!C5-(Inputs!$B11*Inputs!$B5))/1000)*(Inputs!$B10)))))</f>
        <v>785.757</v>
      </c>
      <c r="D6" s="73">
        <f>IF(Lookup!$A9="no",0,IF(Lookup!$B9="Fixed",Inputs!$B9*12,IF(Lookup!$B9="Per Gallon",Inputs!$B9*('Cost Calculator'!D5/1000),(Inputs!$B9*12)+IF(D5&lt;=Inputs!$B11*Inputs!$B5,0,(('Cost Calculator'!D5-(Inputs!$B11*Inputs!$B5))/1000)*(Inputs!$B10)))))</f>
        <v>1617.7350000000001</v>
      </c>
      <c r="E6" s="96">
        <f t="shared" si="0"/>
        <v>1201.746</v>
      </c>
      <c r="F6" s="3"/>
      <c r="G6" s="3"/>
      <c r="H6" s="3"/>
      <c r="I6" s="3"/>
      <c r="J6" s="3"/>
      <c r="K6" s="3"/>
      <c r="L6" s="3"/>
    </row>
    <row r="7" spans="2:12" ht="12.75">
      <c r="B7" s="37" t="s">
        <v>50</v>
      </c>
      <c r="C7" s="68">
        <f>'Cost Data'!C18*Inputs!$B20</f>
        <v>4600</v>
      </c>
      <c r="D7" s="69">
        <f>'Cost Data'!D18*Inputs!$B20</f>
        <v>9475</v>
      </c>
      <c r="E7" s="96">
        <f t="shared" si="0"/>
        <v>7037.5</v>
      </c>
      <c r="F7" s="3"/>
      <c r="G7" s="3"/>
      <c r="H7" s="3"/>
      <c r="I7" s="3"/>
      <c r="J7" s="3"/>
      <c r="K7" s="3"/>
      <c r="L7" s="3"/>
    </row>
    <row r="8" spans="2:12" ht="12.75">
      <c r="B8" s="35" t="s">
        <v>46</v>
      </c>
      <c r="C8" s="66">
        <f>('Cost Data'!C19+('Cost Data'!C20*Inputs!$B5))*Inputs!$B21</f>
        <v>3312.0000000000005</v>
      </c>
      <c r="D8" s="67">
        <f>('Cost Data'!D19+('Cost Data'!D20*Inputs!$B5))*Inputs!$B21</f>
        <v>4752</v>
      </c>
      <c r="E8" s="96">
        <f t="shared" si="0"/>
        <v>4032</v>
      </c>
      <c r="F8" s="3"/>
      <c r="G8" s="3"/>
      <c r="H8" s="3"/>
      <c r="I8" s="3"/>
      <c r="J8" s="3"/>
      <c r="K8" s="3"/>
      <c r="L8" s="3"/>
    </row>
    <row r="9" spans="2:12" ht="12.75">
      <c r="B9" s="35" t="s">
        <v>47</v>
      </c>
      <c r="C9" s="66">
        <f>('Cost Data'!C21+('Cost Data'!C23*Inputs!B24))*Inputs!$B22</f>
        <v>325</v>
      </c>
      <c r="D9" s="67">
        <f>('Cost Data'!D21+('Cost Data'!D23*Inputs!B24))*Inputs!$B22</f>
        <v>550</v>
      </c>
      <c r="E9" s="96">
        <f t="shared" si="0"/>
        <v>437.5</v>
      </c>
      <c r="F9" s="3"/>
      <c r="G9" s="3"/>
      <c r="H9" s="3"/>
      <c r="I9" s="3"/>
      <c r="J9" s="3"/>
      <c r="K9" s="3"/>
      <c r="L9" s="3"/>
    </row>
    <row r="10" spans="2:12" ht="12.75">
      <c r="B10" s="35" t="s">
        <v>48</v>
      </c>
      <c r="C10" s="66">
        <f>('Cost Data'!C22+('Cost Data'!C23*Inputs!B25))*Inputs!$B23</f>
        <v>50</v>
      </c>
      <c r="D10" s="67">
        <f>('Cost Data'!D22+('Cost Data'!D23*Inputs!B25))*Inputs!$B23</f>
        <v>190</v>
      </c>
      <c r="E10" s="96">
        <f t="shared" si="0"/>
        <v>120</v>
      </c>
      <c r="F10" s="3"/>
      <c r="G10" s="3"/>
      <c r="H10" s="3"/>
      <c r="I10" s="3"/>
      <c r="J10" s="3"/>
      <c r="K10" s="3"/>
      <c r="L10" s="3"/>
    </row>
    <row r="11" spans="2:12" ht="12.75">
      <c r="B11" s="35" t="s">
        <v>54</v>
      </c>
      <c r="C11" s="66">
        <f>IF(Lookup!C9="A private landscaping firm",(Inputs!$B14*Inputs!$B15*('Cost Data'!C24/60)),0)</f>
        <v>227.76000000000002</v>
      </c>
      <c r="D11" s="67">
        <f>IF(Lookup!C9="A private landscaping firm",(Inputs!$B14*Inputs!$B15*('Cost Data'!D24/60)),0)</f>
        <v>227.76000000000002</v>
      </c>
      <c r="E11" s="96">
        <f t="shared" si="0"/>
        <v>227.76000000000002</v>
      </c>
      <c r="F11" s="3"/>
      <c r="G11" s="3"/>
      <c r="H11" s="3"/>
      <c r="I11" s="3"/>
      <c r="J11" s="3"/>
      <c r="K11" s="3"/>
      <c r="L11" s="3"/>
    </row>
    <row r="12" spans="2:12" ht="12.75">
      <c r="B12" s="35" t="s">
        <v>55</v>
      </c>
      <c r="C12" s="66">
        <f>IF(Lookup!C9="A private landscaping firm",(SUM(C7:C11))*'Cost Data'!$C25,0)</f>
        <v>851.4760000000001</v>
      </c>
      <c r="D12" s="67">
        <f>IF(Lookup!C9="A private landscaping firm",(SUM(D7:D11))*'Cost Data'!$D25,0)</f>
        <v>3798.69</v>
      </c>
      <c r="E12" s="96">
        <f t="shared" si="0"/>
        <v>2325.083</v>
      </c>
      <c r="F12" s="3"/>
      <c r="G12" s="3"/>
      <c r="H12" s="3"/>
      <c r="I12" s="3"/>
      <c r="J12" s="3"/>
      <c r="K12" s="3"/>
      <c r="L12" s="3"/>
    </row>
    <row r="13" spans="2:12" ht="12.75">
      <c r="B13" s="51" t="s">
        <v>104</v>
      </c>
      <c r="C13" s="72">
        <f>SUM(C7:C12)</f>
        <v>9366.236</v>
      </c>
      <c r="D13" s="73">
        <f>SUM(D7:D12)</f>
        <v>18993.45</v>
      </c>
      <c r="E13" s="96">
        <f t="shared" si="0"/>
        <v>14179.843</v>
      </c>
      <c r="G13" s="3"/>
      <c r="H13" s="3"/>
      <c r="I13" s="3"/>
      <c r="J13" s="3"/>
      <c r="K13" s="3"/>
      <c r="L13" s="3"/>
    </row>
    <row r="14" spans="2:12" ht="12.75">
      <c r="B14" s="140" t="s">
        <v>112</v>
      </c>
      <c r="C14" s="141">
        <f>Inputs!$B44*((Inputs!$B45)*Inputs!$B5)</f>
        <v>28000</v>
      </c>
      <c r="D14" s="143">
        <f>Inputs!$B44*((Inputs!$B45)*Inputs!$B5)</f>
        <v>28000</v>
      </c>
      <c r="E14" s="96"/>
      <c r="G14" s="3"/>
      <c r="H14" s="3"/>
      <c r="I14" s="3"/>
      <c r="J14" s="3"/>
      <c r="K14" s="3"/>
      <c r="L14" s="3"/>
    </row>
    <row r="15" spans="2:12" ht="12.75">
      <c r="B15" s="101" t="s">
        <v>111</v>
      </c>
      <c r="C15" s="102">
        <f>C6+C13+C14</f>
        <v>38151.993</v>
      </c>
      <c r="D15" s="180">
        <f>D6+D13+D14</f>
        <v>48611.185</v>
      </c>
      <c r="E15" s="96">
        <f t="shared" si="0"/>
        <v>43381.589</v>
      </c>
      <c r="G15" s="3"/>
      <c r="H15" s="3"/>
      <c r="I15" s="3"/>
      <c r="J15" s="3"/>
      <c r="K15" s="3"/>
      <c r="L15" s="3"/>
    </row>
    <row r="16" spans="2:12" ht="12.75">
      <c r="B16" s="103" t="s">
        <v>10</v>
      </c>
      <c r="C16" s="104">
        <f>C$15*3</f>
        <v>114455.979</v>
      </c>
      <c r="D16" s="105">
        <f>D$15*3</f>
        <v>145833.555</v>
      </c>
      <c r="E16" s="96">
        <f t="shared" si="0"/>
        <v>130144.76699999999</v>
      </c>
      <c r="G16" s="3"/>
      <c r="H16" s="3"/>
      <c r="I16" s="3"/>
      <c r="J16" s="3"/>
      <c r="K16" s="3"/>
      <c r="L16" s="3"/>
    </row>
    <row r="17" spans="2:12" ht="12.75">
      <c r="B17" s="103" t="s">
        <v>11</v>
      </c>
      <c r="C17" s="104">
        <f>C$15*6</f>
        <v>228911.958</v>
      </c>
      <c r="D17" s="105">
        <f>D$15*6</f>
        <v>291667.11</v>
      </c>
      <c r="E17" s="96">
        <f t="shared" si="0"/>
        <v>260289.53399999999</v>
      </c>
      <c r="G17" s="3"/>
      <c r="H17" s="3"/>
      <c r="I17" s="3"/>
      <c r="J17" s="3"/>
      <c r="K17" s="3"/>
      <c r="L17" s="3"/>
    </row>
    <row r="18" spans="2:12" ht="12.75">
      <c r="B18" s="106" t="s">
        <v>12</v>
      </c>
      <c r="C18" s="107">
        <f>C$15*10</f>
        <v>381519.93000000005</v>
      </c>
      <c r="D18" s="108">
        <f>D$15*10</f>
        <v>486111.85</v>
      </c>
      <c r="E18" s="96">
        <f t="shared" si="0"/>
        <v>433815.89</v>
      </c>
      <c r="G18" s="3"/>
      <c r="H18" s="3"/>
      <c r="I18" s="3"/>
      <c r="J18" s="3"/>
      <c r="K18" s="3"/>
      <c r="L18" s="3"/>
    </row>
    <row r="19" spans="2:12" ht="12.75">
      <c r="B19" s="6"/>
      <c r="C19" s="3"/>
      <c r="D19" s="3"/>
      <c r="E19" s="96"/>
      <c r="G19" s="3"/>
      <c r="H19" s="3"/>
      <c r="I19" s="3"/>
      <c r="J19" s="3"/>
      <c r="K19" s="3"/>
      <c r="L19" s="3"/>
    </row>
    <row r="20" spans="2:12" ht="12.75">
      <c r="B20" s="38" t="s">
        <v>15</v>
      </c>
      <c r="C20" s="63" t="s">
        <v>28</v>
      </c>
      <c r="D20" s="62" t="s">
        <v>26</v>
      </c>
      <c r="E20" s="96" t="e">
        <f t="shared" si="0"/>
        <v>#DIV/0!</v>
      </c>
      <c r="G20" s="3"/>
      <c r="H20" s="3"/>
      <c r="I20" s="3"/>
      <c r="J20" s="3"/>
      <c r="K20" s="3"/>
      <c r="L20" s="3"/>
    </row>
    <row r="21" spans="2:12" ht="12.75">
      <c r="B21" s="37" t="s">
        <v>8</v>
      </c>
      <c r="C21" s="70">
        <f>'Cost Data'!C10*Inputs!$B$27</f>
        <v>28800</v>
      </c>
      <c r="D21" s="71">
        <f>'Cost Data'!D10*Inputs!$B$27</f>
        <v>55800</v>
      </c>
      <c r="E21" s="96">
        <f t="shared" si="0"/>
        <v>42300</v>
      </c>
      <c r="G21" s="3"/>
      <c r="H21" s="3"/>
      <c r="I21" s="3"/>
      <c r="J21" s="3"/>
      <c r="K21" s="3"/>
      <c r="L21" s="3"/>
    </row>
    <row r="22" spans="2:12" ht="12.75">
      <c r="B22" s="9" t="s">
        <v>9</v>
      </c>
      <c r="C22" s="64">
        <f>IF(Lookup!$D9="yes",MIN(Inputs!$B40,Inputs!$B39*Inputs!$B27),0)</f>
        <v>0</v>
      </c>
      <c r="D22" s="65">
        <f>IF(Lookup!$D9="yes",MIN(Inputs!$B40,Inputs!$B39*Inputs!$B27),0)</f>
        <v>0</v>
      </c>
      <c r="E22" s="96">
        <f t="shared" si="0"/>
        <v>0</v>
      </c>
      <c r="G22" s="3"/>
      <c r="H22" s="3"/>
      <c r="I22" s="3"/>
      <c r="J22" s="3"/>
      <c r="K22" s="3"/>
      <c r="L22" s="3"/>
    </row>
    <row r="23" spans="2:12" ht="12.75">
      <c r="B23" s="51" t="s">
        <v>80</v>
      </c>
      <c r="C23" s="72">
        <f>IF(C22&lt;C21,C21-C22,0)</f>
        <v>28800</v>
      </c>
      <c r="D23" s="73">
        <f>IF(D22&lt;D21,D21-D22,0)</f>
        <v>55800</v>
      </c>
      <c r="E23" s="96">
        <f t="shared" si="0"/>
        <v>42300</v>
      </c>
      <c r="G23" s="3"/>
      <c r="H23" s="3"/>
      <c r="I23" s="3"/>
      <c r="J23" s="3"/>
      <c r="K23" s="3"/>
      <c r="L23" s="3"/>
    </row>
    <row r="24" spans="2:12" ht="12.75">
      <c r="B24" s="42" t="s">
        <v>27</v>
      </c>
      <c r="C24" s="58">
        <f>(Inputs!$B28*Inputs!$B5*'Cost Data'!$B7*'Cost Data'!C13)+(Inputs!$B29*Inputs!$B5*'Cost Data'!$B7*'Cost Data'!C14)</f>
        <v>77035</v>
      </c>
      <c r="D24" s="53">
        <f>(Inputs!$B28*Inputs!$B5*'Cost Data'!$B7*'Cost Data'!D13)+(Inputs!$B29*Inputs!$B5*'Cost Data'!$B7*'Cost Data'!D14)</f>
        <v>169477</v>
      </c>
      <c r="E24" s="97">
        <f t="shared" si="0"/>
        <v>123256</v>
      </c>
      <c r="G24" s="3"/>
      <c r="H24" s="3"/>
      <c r="I24" s="3"/>
      <c r="J24" s="3"/>
      <c r="K24" s="3"/>
      <c r="L24" s="3"/>
    </row>
    <row r="25" spans="2:12" ht="12.75">
      <c r="B25" s="52" t="s">
        <v>153</v>
      </c>
      <c r="C25" s="72">
        <f>IF(Lookup!$A9="no",0,IF(Lookup!$B9="Fixed",Inputs!$B9*12,IF(Lookup!$B9="Per Gallon",Inputs!$B9*('Cost Calculator'!C24/1000),(Inputs!$B9*12)+IF(C24&lt;=Inputs!$B11*Inputs!$B5,0,(('Cost Calculator'!C24-(Inputs!$B11*Inputs!$B5))/1000)*(Inputs!$B10)))))</f>
        <v>231.105</v>
      </c>
      <c r="D25" s="73">
        <f>IF(Lookup!$A9="no",0,IF(Lookup!$B9="Fixed",Inputs!$B9*12,IF(Lookup!$B9="Per Gallon",Inputs!$B9*('Cost Calculator'!D24/1000),(Inputs!$B9*12)+IF(D24&lt;=Inputs!$B11*Inputs!$B5,0,(('Cost Calculator'!D24-(Inputs!$B11*Inputs!$B5))/1000)*(Inputs!$B10)))))</f>
        <v>508.43100000000004</v>
      </c>
      <c r="E25" s="96">
        <f t="shared" si="0"/>
        <v>369.76800000000003</v>
      </c>
      <c r="G25" s="3"/>
      <c r="H25" s="3"/>
      <c r="I25" s="3"/>
      <c r="J25" s="3"/>
      <c r="K25" s="3"/>
      <c r="L25" s="3"/>
    </row>
    <row r="26" spans="2:12" ht="12.75">
      <c r="B26" s="37" t="s">
        <v>50</v>
      </c>
      <c r="C26" s="68">
        <f>'Cost Data'!C18*Inputs!$B31</f>
        <v>1840</v>
      </c>
      <c r="D26" s="69">
        <f>'Cost Data'!D18*Inputs!$B31</f>
        <v>3790</v>
      </c>
      <c r="E26" s="96">
        <f t="shared" si="0"/>
        <v>2815</v>
      </c>
      <c r="F26" s="3"/>
      <c r="G26" s="3"/>
      <c r="H26" s="3"/>
      <c r="I26" s="3"/>
      <c r="J26" s="3"/>
      <c r="K26" s="3"/>
      <c r="L26" s="3"/>
    </row>
    <row r="27" spans="2:12" ht="12.75">
      <c r="B27" s="35" t="s">
        <v>45</v>
      </c>
      <c r="C27" s="66">
        <f>('Cost Data'!C19+('Cost Data'!C20*Inputs!$B5))*Inputs!$B32</f>
        <v>1449.0000000000002</v>
      </c>
      <c r="D27" s="67">
        <f>('Cost Data'!D19+('Cost Data'!D20*Inputs!$B5))*Inputs!$B32</f>
        <v>2079</v>
      </c>
      <c r="E27" s="96">
        <f t="shared" si="0"/>
        <v>1764</v>
      </c>
      <c r="F27" s="3"/>
      <c r="G27" s="3"/>
      <c r="H27" s="3"/>
      <c r="I27" s="3"/>
      <c r="J27" s="3"/>
      <c r="K27" s="3"/>
      <c r="L27" s="3"/>
    </row>
    <row r="28" spans="2:12" ht="12.75">
      <c r="B28" s="35" t="s">
        <v>47</v>
      </c>
      <c r="C28" s="66">
        <f>('Cost Data'!C21+('Cost Data'!C23*Inputs!B35))*Inputs!$B33</f>
        <v>1800</v>
      </c>
      <c r="D28" s="67">
        <f>('Cost Data'!D21+('Cost Data'!D23*Inputs!B35))*Inputs!$B33</f>
        <v>3150.0000000000005</v>
      </c>
      <c r="E28" s="96">
        <f t="shared" si="0"/>
        <v>2475</v>
      </c>
      <c r="F28" s="3"/>
      <c r="G28" s="3"/>
      <c r="H28" s="3"/>
      <c r="I28" s="3"/>
      <c r="J28" s="3"/>
      <c r="K28" s="3"/>
      <c r="L28" s="3"/>
    </row>
    <row r="29" spans="2:12" ht="12.75">
      <c r="B29" s="35" t="s">
        <v>48</v>
      </c>
      <c r="C29" s="66">
        <f>('Cost Data'!C22+('Cost Data'!C23*Inputs!B36))*Inputs!$B34</f>
        <v>140</v>
      </c>
      <c r="D29" s="67">
        <f>('Cost Data'!D22+('Cost Data'!D23*Inputs!B36))*Inputs!$B34</f>
        <v>630.0000000000001</v>
      </c>
      <c r="E29" s="96">
        <f t="shared" si="0"/>
        <v>385.00000000000006</v>
      </c>
      <c r="F29" s="3"/>
      <c r="G29" s="3"/>
      <c r="H29" s="3"/>
      <c r="I29" s="3"/>
      <c r="J29" s="3"/>
      <c r="K29" s="3"/>
      <c r="L29" s="3"/>
    </row>
    <row r="30" spans="2:12" ht="12.75">
      <c r="B30" s="35" t="s">
        <v>119</v>
      </c>
      <c r="C30" s="66">
        <f>IF(Lookup!C9="A private landscaping firm",(Inputs!$B14*Inputs!$B15*('Cost Data'!C24/60)),0)</f>
        <v>227.76000000000002</v>
      </c>
      <c r="D30" s="67">
        <f>IF(Lookup!C9="A private landscaping firm",(Inputs!$B14*Inputs!$B15*('Cost Data'!D24/60)),0)</f>
        <v>227.76000000000002</v>
      </c>
      <c r="E30" s="96">
        <f t="shared" si="0"/>
        <v>227.76000000000002</v>
      </c>
      <c r="F30" s="3"/>
      <c r="G30" s="3"/>
      <c r="H30" s="3"/>
      <c r="I30" s="3"/>
      <c r="J30" s="3"/>
      <c r="K30" s="3"/>
      <c r="L30" s="3"/>
    </row>
    <row r="31" spans="2:12" ht="12.75">
      <c r="B31" s="35" t="s">
        <v>118</v>
      </c>
      <c r="C31" s="66">
        <f>IF(Lookup!C9="A private landscaping firm",(SUM(C26:C30))*'Cost Data'!$C25,0)</f>
        <v>545.676</v>
      </c>
      <c r="D31" s="67">
        <f>IF(Lookup!C9="A private landscaping firm",(SUM(D26:D30))*'Cost Data'!$D25,0)</f>
        <v>2469.19</v>
      </c>
      <c r="E31" s="96">
        <f t="shared" si="0"/>
        <v>1507.433</v>
      </c>
      <c r="F31" s="3"/>
      <c r="G31" s="3"/>
      <c r="H31" s="3"/>
      <c r="I31" s="3"/>
      <c r="J31" s="3"/>
      <c r="K31" s="3"/>
      <c r="L31" s="3"/>
    </row>
    <row r="32" spans="2:12" ht="12.75">
      <c r="B32" s="52" t="s">
        <v>104</v>
      </c>
      <c r="C32" s="74">
        <f>SUM(C26:C31)</f>
        <v>6002.436000000001</v>
      </c>
      <c r="D32" s="75">
        <f>SUM(D26:D31)</f>
        <v>12345.95</v>
      </c>
      <c r="E32" s="96">
        <f t="shared" si="0"/>
        <v>9174.193000000001</v>
      </c>
      <c r="G32" s="3"/>
      <c r="H32" s="3"/>
      <c r="I32" s="3"/>
      <c r="J32" s="3"/>
      <c r="K32" s="3"/>
      <c r="L32" s="3"/>
    </row>
    <row r="33" spans="2:12" ht="12.75">
      <c r="B33" s="140" t="s">
        <v>112</v>
      </c>
      <c r="C33" s="141">
        <f>Inputs!$B44*((Inputs!$B46)*Inputs!$B5)</f>
        <v>21000</v>
      </c>
      <c r="D33" s="143">
        <f>Inputs!$B44*((Inputs!$B46)*Inputs!$B5)</f>
        <v>21000</v>
      </c>
      <c r="E33" s="96"/>
      <c r="G33" s="3"/>
      <c r="H33" s="3"/>
      <c r="I33" s="3"/>
      <c r="J33" s="3"/>
      <c r="K33" s="3"/>
      <c r="L33" s="3"/>
    </row>
    <row r="34" spans="2:12" ht="12.75">
      <c r="B34" s="103" t="s">
        <v>111</v>
      </c>
      <c r="C34" s="104">
        <f>C25+C32+C33</f>
        <v>27233.541</v>
      </c>
      <c r="D34" s="105">
        <f>D25+D32+D33</f>
        <v>33854.381</v>
      </c>
      <c r="E34" s="96">
        <f t="shared" si="0"/>
        <v>30543.961000000003</v>
      </c>
      <c r="G34" s="3"/>
      <c r="H34" s="3"/>
      <c r="I34" s="3"/>
      <c r="J34" s="3"/>
      <c r="K34" s="3"/>
      <c r="L34" s="3"/>
    </row>
    <row r="35" spans="2:12" ht="12.75">
      <c r="B35" s="103" t="s">
        <v>10</v>
      </c>
      <c r="C35" s="104">
        <f>C23+C$34*3</f>
        <v>110500.623</v>
      </c>
      <c r="D35" s="105">
        <f>D23+D$34*3</f>
        <v>157363.143</v>
      </c>
      <c r="E35" s="96">
        <f t="shared" si="0"/>
        <v>133931.883</v>
      </c>
      <c r="G35" s="3"/>
      <c r="H35" s="3"/>
      <c r="I35" s="3"/>
      <c r="J35" s="3"/>
      <c r="K35" s="3"/>
      <c r="L35" s="3"/>
    </row>
    <row r="36" spans="2:12" ht="12.75">
      <c r="B36" s="103" t="s">
        <v>11</v>
      </c>
      <c r="C36" s="104">
        <f>C23+C$34*6</f>
        <v>192201.246</v>
      </c>
      <c r="D36" s="105">
        <f>D23+D$34*6</f>
        <v>258926.28600000002</v>
      </c>
      <c r="E36" s="96">
        <f t="shared" si="0"/>
        <v>225563.766</v>
      </c>
      <c r="G36" s="3"/>
      <c r="H36" s="3"/>
      <c r="I36" s="3"/>
      <c r="J36" s="3"/>
      <c r="K36" s="3"/>
      <c r="L36" s="3"/>
    </row>
    <row r="37" spans="2:12" ht="12.75">
      <c r="B37" s="106" t="s">
        <v>12</v>
      </c>
      <c r="C37" s="107">
        <f>C23+C$34*10</f>
        <v>301135.41000000003</v>
      </c>
      <c r="D37" s="108">
        <f>D23+D$34*10</f>
        <v>394343.81</v>
      </c>
      <c r="E37" s="96">
        <f t="shared" si="0"/>
        <v>347739.61</v>
      </c>
      <c r="G37" s="3"/>
      <c r="H37" s="3"/>
      <c r="I37" s="3"/>
      <c r="J37" s="3"/>
      <c r="K37" s="3"/>
      <c r="L37" s="3"/>
    </row>
    <row r="38" spans="2:12" ht="12.75">
      <c r="B38" s="98"/>
      <c r="C38" s="3"/>
      <c r="D38" s="3"/>
      <c r="G38" s="3"/>
      <c r="H38" s="3"/>
      <c r="I38" s="3"/>
      <c r="J38" s="3"/>
      <c r="K38" s="3"/>
      <c r="L38" s="3"/>
    </row>
    <row r="39" spans="2:5" s="6" customFormat="1" ht="25.5" customHeight="1">
      <c r="B39" s="225"/>
      <c r="C39" s="226"/>
      <c r="D39" s="226"/>
      <c r="E39" s="123"/>
    </row>
    <row r="40" spans="2:5" s="6" customFormat="1" ht="12.75" customHeight="1">
      <c r="B40" s="124"/>
      <c r="C40" s="125"/>
      <c r="D40" s="125"/>
      <c r="E40" s="123"/>
    </row>
    <row r="41" spans="2:12" ht="12.75" customHeight="1">
      <c r="B41" s="227"/>
      <c r="C41" s="228"/>
      <c r="D41" s="228"/>
      <c r="G41" s="3"/>
      <c r="H41" s="3"/>
      <c r="I41" s="3"/>
      <c r="J41" s="3"/>
      <c r="K41" s="3"/>
      <c r="L41" s="3"/>
    </row>
    <row r="42" spans="2:12" ht="12.75">
      <c r="B42" s="34"/>
      <c r="C42" s="34"/>
      <c r="D42" s="34"/>
      <c r="G42" s="3"/>
      <c r="H42" s="3"/>
      <c r="I42" s="3"/>
      <c r="J42" s="3"/>
      <c r="K42" s="3"/>
      <c r="L42" s="3"/>
    </row>
    <row r="43" spans="2:12" ht="12.75">
      <c r="B43" s="34"/>
      <c r="C43" s="34"/>
      <c r="D43" s="34"/>
      <c r="G43" s="3"/>
      <c r="H43" s="3"/>
      <c r="I43" s="3"/>
      <c r="J43" s="3"/>
      <c r="K43" s="3"/>
      <c r="L43" s="3"/>
    </row>
    <row r="44" spans="2:12" ht="12.75">
      <c r="B44" s="34"/>
      <c r="C44" s="34"/>
      <c r="D44" s="34"/>
      <c r="G44" s="3"/>
      <c r="H44" s="3"/>
      <c r="I44" s="3"/>
      <c r="J44" s="3"/>
      <c r="K44" s="3"/>
      <c r="L44" s="3"/>
    </row>
    <row r="45" spans="2:12" ht="12.75">
      <c r="B45" s="34"/>
      <c r="C45" s="34"/>
      <c r="D45" s="34"/>
      <c r="G45" s="3"/>
      <c r="H45" s="3"/>
      <c r="I45" s="3"/>
      <c r="J45" s="3"/>
      <c r="K45" s="3"/>
      <c r="L45" s="3"/>
    </row>
    <row r="46" spans="2:4" ht="12.75">
      <c r="B46" s="34"/>
      <c r="C46" s="34"/>
      <c r="D46" s="34"/>
    </row>
    <row r="47" spans="3:4" ht="12.75">
      <c r="C47" s="7"/>
      <c r="D47" s="7"/>
    </row>
    <row r="48" spans="3:4" ht="12.75">
      <c r="C48" s="7"/>
      <c r="D48" s="7"/>
    </row>
    <row r="59" ht="12.75" customHeight="1"/>
  </sheetData>
  <mergeCells count="3">
    <mergeCell ref="A1:B1"/>
    <mergeCell ref="B39:D39"/>
    <mergeCell ref="B41:D41"/>
  </mergeCells>
  <printOptions horizontalCentered="1"/>
  <pageMargins left="0.75" right="0.75" top="1" bottom="1" header="0.5" footer="0.5"/>
  <pageSetup fitToHeight="1" fitToWidth="1" horizontalDpi="600" verticalDpi="600" orientation="portrait" r:id="rId5"/>
  <drawing r:id="rId3"/>
  <legacyDrawing r:id="rId2"/>
  <picture r:id="rId4"/>
</worksheet>
</file>

<file path=xl/worksheets/sheet5.xml><?xml version="1.0" encoding="utf-8"?>
<worksheet xmlns="http://schemas.openxmlformats.org/spreadsheetml/2006/main" xmlns:r="http://schemas.openxmlformats.org/officeDocument/2006/relationships">
  <sheetPr codeName="Sheet4">
    <pageSetUpPr fitToPage="1"/>
  </sheetPr>
  <dimension ref="A1:L24"/>
  <sheetViews>
    <sheetView showGridLines="0" workbookViewId="0" topLeftCell="A1">
      <selection activeCell="P6" sqref="P6"/>
    </sheetView>
  </sheetViews>
  <sheetFormatPr defaultColWidth="9.140625" defaultRowHeight="12.75"/>
  <cols>
    <col min="1" max="8" width="9.140625" style="5" customWidth="1"/>
    <col min="9" max="12" width="7.57421875" style="5" customWidth="1"/>
    <col min="13" max="13" width="7.57421875" style="3" customWidth="1"/>
    <col min="14" max="16384" width="9.140625" style="3" customWidth="1"/>
  </cols>
  <sheetData>
    <row r="1" spans="1:4" ht="12.75">
      <c r="A1" s="224" t="s">
        <v>160</v>
      </c>
      <c r="B1" s="224"/>
      <c r="C1" s="231"/>
      <c r="D1" s="231"/>
    </row>
    <row r="2" ht="12.75"/>
    <row r="3" spans="2:12" ht="12.75">
      <c r="B3" s="6"/>
      <c r="C3" s="3"/>
      <c r="D3" s="3"/>
      <c r="G3" s="3"/>
      <c r="H3" s="3"/>
      <c r="I3" s="3"/>
      <c r="J3" s="3"/>
      <c r="K3" s="3"/>
      <c r="L3" s="3"/>
    </row>
    <row r="4" spans="2:12" ht="12.75">
      <c r="B4" s="8"/>
      <c r="C4" s="3"/>
      <c r="D4" s="3"/>
      <c r="G4" s="3"/>
      <c r="H4" s="3"/>
      <c r="I4" s="3"/>
      <c r="J4" s="3"/>
      <c r="K4" s="3"/>
      <c r="L4" s="3"/>
    </row>
    <row r="5" spans="2:12" ht="12.75">
      <c r="B5" s="61"/>
      <c r="C5" s="54"/>
      <c r="D5" s="61"/>
      <c r="G5" s="3"/>
      <c r="H5" s="3"/>
      <c r="I5" s="3"/>
      <c r="J5" s="3"/>
      <c r="K5" s="3"/>
      <c r="L5" s="3"/>
    </row>
    <row r="6" spans="2:12" ht="12.75">
      <c r="B6" s="34"/>
      <c r="C6" s="34"/>
      <c r="D6" s="34"/>
      <c r="G6" s="3"/>
      <c r="H6" s="3"/>
      <c r="I6" s="3"/>
      <c r="J6" s="3"/>
      <c r="K6" s="3"/>
      <c r="L6" s="3"/>
    </row>
    <row r="7" spans="2:12" ht="12.75">
      <c r="B7" s="34"/>
      <c r="C7" s="34"/>
      <c r="D7" s="34"/>
      <c r="G7" s="3"/>
      <c r="H7" s="3"/>
      <c r="I7" s="3"/>
      <c r="J7" s="3"/>
      <c r="K7" s="3"/>
      <c r="L7" s="3"/>
    </row>
    <row r="8" spans="2:12" ht="12.75">
      <c r="B8" s="34"/>
      <c r="C8" s="34"/>
      <c r="D8" s="34"/>
      <c r="G8" s="3"/>
      <c r="H8" s="3"/>
      <c r="I8" s="3"/>
      <c r="J8" s="3"/>
      <c r="K8" s="3"/>
      <c r="L8" s="3"/>
    </row>
    <row r="9" spans="2:12" ht="12.75">
      <c r="B9" s="34"/>
      <c r="C9" s="34"/>
      <c r="D9" s="34"/>
      <c r="G9" s="3"/>
      <c r="H9" s="3"/>
      <c r="I9" s="3"/>
      <c r="J9" s="3"/>
      <c r="K9" s="3"/>
      <c r="L9" s="3"/>
    </row>
    <row r="10" spans="2:4" ht="12.75">
      <c r="B10" s="34"/>
      <c r="C10" s="34"/>
      <c r="D10" s="34"/>
    </row>
    <row r="11" spans="3:4" ht="12.75">
      <c r="C11" s="7"/>
      <c r="D11" s="7"/>
    </row>
    <row r="12" spans="3:4" ht="12.75">
      <c r="C12" s="7"/>
      <c r="D12" s="7"/>
    </row>
    <row r="21" ht="12" customHeight="1"/>
    <row r="23" ht="12.75" customHeight="1"/>
    <row r="24" spans="1:11" ht="12.75">
      <c r="A24" s="98"/>
      <c r="B24" s="229" t="s">
        <v>71</v>
      </c>
      <c r="C24" s="230"/>
      <c r="D24" s="230"/>
      <c r="E24" s="230"/>
      <c r="F24" s="230"/>
      <c r="G24" s="230"/>
      <c r="H24" s="230"/>
      <c r="I24" s="230"/>
      <c r="J24" s="230"/>
      <c r="K24" s="230"/>
    </row>
  </sheetData>
  <mergeCells count="2">
    <mergeCell ref="B24:K24"/>
    <mergeCell ref="A1:D1"/>
  </mergeCells>
  <printOptions horizontalCentered="1"/>
  <pageMargins left="0.75" right="0.75" top="1" bottom="1" header="0.5" footer="0.5"/>
  <pageSetup fitToHeight="1" fitToWidth="1" horizontalDpi="600" verticalDpi="600" orientation="portrait" scale="88" r:id="rId3"/>
  <drawing r:id="rId1"/>
  <picture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F31"/>
  <sheetViews>
    <sheetView showGridLines="0" tabSelected="1" zoomScale="80" zoomScaleNormal="80" workbookViewId="0" topLeftCell="A1">
      <selection activeCell="F15" sqref="F15"/>
    </sheetView>
  </sheetViews>
  <sheetFormatPr defaultColWidth="9.140625" defaultRowHeight="12.75"/>
  <cols>
    <col min="1" max="1" width="27.00390625" style="3" customWidth="1"/>
    <col min="2" max="2" width="15.57421875" style="3" customWidth="1"/>
    <col min="3" max="3" width="14.7109375" style="3" customWidth="1"/>
    <col min="4" max="4" width="17.140625" style="4" customWidth="1"/>
    <col min="5" max="5" width="40.00390625" style="4" customWidth="1"/>
    <col min="6" max="6" width="35.8515625" style="3" customWidth="1"/>
    <col min="7" max="16384" width="9.140625" style="3" customWidth="1"/>
  </cols>
  <sheetData>
    <row r="1" spans="1:2" ht="12.75">
      <c r="A1" s="224" t="s">
        <v>161</v>
      </c>
      <c r="B1" s="224"/>
    </row>
    <row r="2" spans="1:2" ht="12.75">
      <c r="A2" s="2"/>
      <c r="B2" s="2"/>
    </row>
    <row r="3" spans="1:2" ht="12.75">
      <c r="A3" s="2"/>
      <c r="B3" s="2"/>
    </row>
    <row r="4" spans="1:6" ht="12.75">
      <c r="A4" s="14" t="s">
        <v>30</v>
      </c>
      <c r="B4" s="14" t="s">
        <v>23</v>
      </c>
      <c r="C4" s="239" t="s">
        <v>5</v>
      </c>
      <c r="D4" s="239"/>
      <c r="E4" s="240"/>
      <c r="F4" s="78" t="s">
        <v>6</v>
      </c>
    </row>
    <row r="5" spans="1:6" ht="51" customHeight="1">
      <c r="A5" s="59" t="s">
        <v>21</v>
      </c>
      <c r="B5" s="91">
        <v>0.71</v>
      </c>
      <c r="C5" s="241" t="s">
        <v>62</v>
      </c>
      <c r="D5" s="242"/>
      <c r="E5" s="243"/>
      <c r="F5" s="93" t="s">
        <v>75</v>
      </c>
    </row>
    <row r="6" spans="1:6" ht="38.25" customHeight="1">
      <c r="A6" s="10" t="s">
        <v>20</v>
      </c>
      <c r="B6" s="199">
        <v>0.62</v>
      </c>
      <c r="C6" s="241" t="s">
        <v>154</v>
      </c>
      <c r="D6" s="242"/>
      <c r="E6" s="244"/>
      <c r="F6" s="76" t="s">
        <v>61</v>
      </c>
    </row>
    <row r="7" spans="1:5" ht="25.5" customHeight="1">
      <c r="A7" s="10" t="s">
        <v>22</v>
      </c>
      <c r="B7" s="188">
        <f>B5*B6</f>
        <v>0.4402</v>
      </c>
      <c r="C7" s="237"/>
      <c r="D7" s="238"/>
      <c r="E7" s="90"/>
    </row>
    <row r="8" spans="1:5" ht="25.5" customHeight="1">
      <c r="A8" s="44"/>
      <c r="B8" s="89"/>
      <c r="C8" s="45"/>
      <c r="D8" s="46"/>
      <c r="E8" s="3"/>
    </row>
    <row r="9" spans="1:6" ht="12.75">
      <c r="A9" s="14" t="s">
        <v>52</v>
      </c>
      <c r="B9" s="14" t="s">
        <v>34</v>
      </c>
      <c r="C9" s="15" t="s">
        <v>25</v>
      </c>
      <c r="D9" s="14" t="s">
        <v>24</v>
      </c>
      <c r="E9" s="15" t="s">
        <v>5</v>
      </c>
      <c r="F9" s="15" t="s">
        <v>6</v>
      </c>
    </row>
    <row r="10" spans="1:6" ht="25.5">
      <c r="A10" s="10" t="s">
        <v>53</v>
      </c>
      <c r="B10" s="10" t="s">
        <v>35</v>
      </c>
      <c r="C10" s="80">
        <f>'Initial Cost'!A10</f>
        <v>1.92</v>
      </c>
      <c r="D10" s="80">
        <f>'Initial Cost'!B10</f>
        <v>3.72</v>
      </c>
      <c r="E10" s="76" t="s">
        <v>131</v>
      </c>
      <c r="F10" s="160" t="s">
        <v>141</v>
      </c>
    </row>
    <row r="11" spans="1:4" ht="12.75" customHeight="1">
      <c r="A11" s="2"/>
      <c r="B11" s="2"/>
      <c r="C11" s="4"/>
      <c r="D11" s="3"/>
    </row>
    <row r="12" spans="1:6" ht="12.75">
      <c r="A12" s="14" t="s">
        <v>29</v>
      </c>
      <c r="B12" s="14" t="s">
        <v>34</v>
      </c>
      <c r="C12" s="15" t="s">
        <v>25</v>
      </c>
      <c r="D12" s="14" t="s">
        <v>24</v>
      </c>
      <c r="E12" s="15" t="s">
        <v>5</v>
      </c>
      <c r="F12" s="15" t="s">
        <v>6</v>
      </c>
    </row>
    <row r="13" spans="1:6" ht="117" customHeight="1">
      <c r="A13" s="10" t="s">
        <v>42</v>
      </c>
      <c r="B13" s="10" t="s">
        <v>41</v>
      </c>
      <c r="C13" s="92">
        <v>4</v>
      </c>
      <c r="D13" s="92">
        <v>8</v>
      </c>
      <c r="E13" s="12" t="s">
        <v>166</v>
      </c>
      <c r="F13" s="11" t="s">
        <v>101</v>
      </c>
    </row>
    <row r="14" spans="1:6" ht="89.25">
      <c r="A14" s="10" t="s">
        <v>43</v>
      </c>
      <c r="B14" s="10" t="s">
        <v>41</v>
      </c>
      <c r="C14" s="92">
        <v>1</v>
      </c>
      <c r="D14" s="92">
        <v>3</v>
      </c>
      <c r="E14" s="12" t="s">
        <v>165</v>
      </c>
      <c r="F14" s="11" t="s">
        <v>102</v>
      </c>
    </row>
    <row r="15" spans="1:6" ht="51">
      <c r="A15" s="10" t="s">
        <v>44</v>
      </c>
      <c r="B15" s="10" t="s">
        <v>41</v>
      </c>
      <c r="C15" s="112">
        <v>0</v>
      </c>
      <c r="D15" s="112">
        <v>0</v>
      </c>
      <c r="E15" s="12" t="s">
        <v>165</v>
      </c>
      <c r="F15" s="11"/>
    </row>
    <row r="16" spans="1:5" ht="12.75">
      <c r="A16" s="44"/>
      <c r="B16" s="44"/>
      <c r="C16" s="45"/>
      <c r="D16" s="89"/>
      <c r="E16" s="46"/>
    </row>
    <row r="17" spans="1:6" ht="12.75">
      <c r="A17" s="14" t="s">
        <v>31</v>
      </c>
      <c r="B17" s="14" t="s">
        <v>34</v>
      </c>
      <c r="C17" s="15" t="s">
        <v>25</v>
      </c>
      <c r="D17" s="14" t="s">
        <v>24</v>
      </c>
      <c r="E17" s="15" t="s">
        <v>5</v>
      </c>
      <c r="F17" s="15" t="s">
        <v>6</v>
      </c>
    </row>
    <row r="18" spans="1:6" ht="38.25" customHeight="1">
      <c r="A18" s="10" t="s">
        <v>38</v>
      </c>
      <c r="B18" s="10" t="s">
        <v>67</v>
      </c>
      <c r="C18" s="80">
        <f>ROUND(1.77*B30,2)</f>
        <v>1.84</v>
      </c>
      <c r="D18" s="80">
        <f>ROUND(3.64*B30,2)</f>
        <v>3.79</v>
      </c>
      <c r="E18" s="76" t="s">
        <v>51</v>
      </c>
      <c r="F18" s="234" t="s">
        <v>120</v>
      </c>
    </row>
    <row r="19" spans="1:6" ht="38.25">
      <c r="A19" s="59" t="s">
        <v>32</v>
      </c>
      <c r="B19" s="10" t="s">
        <v>67</v>
      </c>
      <c r="C19" s="80">
        <f>ROUND(0.04*B30,2)</f>
        <v>0.04</v>
      </c>
      <c r="D19" s="80">
        <f>ROUND(0.1*B30,2)</f>
        <v>0.1</v>
      </c>
      <c r="E19" s="76" t="s">
        <v>51</v>
      </c>
      <c r="F19" s="235"/>
    </row>
    <row r="20" spans="1:6" ht="38.25" customHeight="1">
      <c r="A20" s="59" t="s">
        <v>36</v>
      </c>
      <c r="B20" s="10" t="s">
        <v>68</v>
      </c>
      <c r="C20" s="81">
        <f>ROUND(0.013*B30,3)</f>
        <v>0.014</v>
      </c>
      <c r="D20" s="81">
        <f>ROUND(0.013*B30,3)</f>
        <v>0.014</v>
      </c>
      <c r="E20" s="76" t="s">
        <v>51</v>
      </c>
      <c r="F20" s="235"/>
    </row>
    <row r="21" spans="1:6" ht="38.25">
      <c r="A21" s="10" t="s">
        <v>107</v>
      </c>
      <c r="B21" s="10" t="s">
        <v>67</v>
      </c>
      <c r="C21" s="80">
        <f>ROUND(0.11*B30,2)</f>
        <v>0.11</v>
      </c>
      <c r="D21" s="80">
        <f>ROUND(0.19*B30,2)</f>
        <v>0.2</v>
      </c>
      <c r="E21" s="76" t="s">
        <v>51</v>
      </c>
      <c r="F21" s="235"/>
    </row>
    <row r="22" spans="1:6" ht="38.25">
      <c r="A22" s="10" t="s">
        <v>138</v>
      </c>
      <c r="B22" s="10" t="s">
        <v>67</v>
      </c>
      <c r="C22" s="80">
        <f>ROUND(0.03*B30,2)</f>
        <v>0.03</v>
      </c>
      <c r="D22" s="80">
        <f>ROUND(0.16*B30,2)</f>
        <v>0.17</v>
      </c>
      <c r="E22" s="76" t="s">
        <v>51</v>
      </c>
      <c r="F22" s="235"/>
    </row>
    <row r="23" spans="1:6" ht="38.25">
      <c r="A23" s="10" t="s">
        <v>66</v>
      </c>
      <c r="B23" s="10" t="s">
        <v>67</v>
      </c>
      <c r="C23" s="80">
        <f>ROUND(0.01*B30,2)</f>
        <v>0.01</v>
      </c>
      <c r="D23" s="80">
        <f>ROUND(0.01*B30,2)</f>
        <v>0.01</v>
      </c>
      <c r="E23" s="76" t="s">
        <v>51</v>
      </c>
      <c r="F23" s="235"/>
    </row>
    <row r="24" spans="1:6" ht="38.25">
      <c r="A24" s="10" t="s">
        <v>33</v>
      </c>
      <c r="B24" s="10" t="s">
        <v>37</v>
      </c>
      <c r="C24" s="80">
        <f>ROUND(73*B30,2)</f>
        <v>75.92</v>
      </c>
      <c r="D24" s="80">
        <f>ROUND(73*B30,2)</f>
        <v>75.92</v>
      </c>
      <c r="E24" s="76" t="s">
        <v>51</v>
      </c>
      <c r="F24" s="236"/>
    </row>
    <row r="25" spans="1:6" ht="76.5">
      <c r="A25" s="10" t="s">
        <v>39</v>
      </c>
      <c r="B25" s="10" t="s">
        <v>40</v>
      </c>
      <c r="C25" s="82">
        <v>0.1</v>
      </c>
      <c r="D25" s="82">
        <v>0.25</v>
      </c>
      <c r="E25" s="76" t="s">
        <v>64</v>
      </c>
      <c r="F25" s="94"/>
    </row>
    <row r="28" spans="1:2" ht="12.75">
      <c r="A28" s="232" t="s">
        <v>124</v>
      </c>
      <c r="B28" s="233"/>
    </row>
    <row r="29" spans="1:3" ht="25.5" customHeight="1">
      <c r="A29" s="152" t="s">
        <v>125</v>
      </c>
      <c r="B29" s="153" t="s">
        <v>126</v>
      </c>
      <c r="C29" s="79"/>
    </row>
    <row r="30" spans="1:2" ht="12.75">
      <c r="A30" s="154">
        <v>2005</v>
      </c>
      <c r="B30" s="155">
        <v>1.04</v>
      </c>
    </row>
    <row r="31" spans="1:2" ht="12.75">
      <c r="A31" s="156" t="s">
        <v>127</v>
      </c>
      <c r="B31" s="84"/>
    </row>
  </sheetData>
  <mergeCells count="7">
    <mergeCell ref="A28:B28"/>
    <mergeCell ref="F18:F24"/>
    <mergeCell ref="A1:B1"/>
    <mergeCell ref="C7:D7"/>
    <mergeCell ref="C4:E4"/>
    <mergeCell ref="C5:E5"/>
    <mergeCell ref="C6:E6"/>
  </mergeCells>
  <printOptions horizontalCentered="1"/>
  <pageMargins left="0.75" right="0.75" top="1" bottom="1" header="0.5" footer="0.5"/>
  <pageSetup fitToHeight="1" fitToWidth="1" horizontalDpi="600" verticalDpi="600" orientation="portrait" scale="60" r:id="rId3"/>
  <drawing r:id="rId1"/>
  <picture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D28"/>
  <sheetViews>
    <sheetView showGridLines="0" zoomScale="80" zoomScaleNormal="80" workbookViewId="0" topLeftCell="A1">
      <selection activeCell="A1" sqref="A1:B1"/>
    </sheetView>
  </sheetViews>
  <sheetFormatPr defaultColWidth="9.140625" defaultRowHeight="12.75"/>
  <cols>
    <col min="1" max="2" width="27.00390625" style="3" customWidth="1"/>
    <col min="3" max="3" width="36.140625" style="3" customWidth="1"/>
    <col min="4" max="4" width="43.421875" style="3" customWidth="1"/>
    <col min="5" max="16384" width="9.140625" style="3" customWidth="1"/>
  </cols>
  <sheetData>
    <row r="1" spans="1:2" ht="12.75">
      <c r="A1" s="224" t="s">
        <v>162</v>
      </c>
      <c r="B1" s="224"/>
    </row>
    <row r="2" spans="1:2" ht="12.75">
      <c r="A2" s="2"/>
      <c r="B2" s="2"/>
    </row>
    <row r="3" spans="1:2" ht="12.75">
      <c r="A3" s="2"/>
      <c r="B3" s="2"/>
    </row>
    <row r="4" spans="1:4" ht="12.75">
      <c r="A4" s="164" t="s">
        <v>8</v>
      </c>
      <c r="B4" s="164"/>
      <c r="C4" s="144"/>
      <c r="D4" s="167"/>
    </row>
    <row r="5" spans="1:4" ht="12.75">
      <c r="A5" s="168" t="s">
        <v>122</v>
      </c>
      <c r="B5" s="168" t="s">
        <v>123</v>
      </c>
      <c r="C5" s="142" t="s">
        <v>5</v>
      </c>
      <c r="D5" s="169" t="s">
        <v>6</v>
      </c>
    </row>
    <row r="6" spans="1:4" ht="51" customHeight="1">
      <c r="A6" s="150">
        <v>3.4</v>
      </c>
      <c r="B6" s="151">
        <v>3.4</v>
      </c>
      <c r="C6" s="76" t="s">
        <v>140</v>
      </c>
      <c r="D6" s="93" t="s">
        <v>129</v>
      </c>
    </row>
    <row r="7" spans="1:4" ht="76.5" customHeight="1">
      <c r="A7" s="151">
        <f>1*B14</f>
        <v>1.13</v>
      </c>
      <c r="B7" s="151">
        <f>4*B14</f>
        <v>4.52</v>
      </c>
      <c r="C7" s="76" t="s">
        <v>100</v>
      </c>
      <c r="D7" s="11"/>
    </row>
    <row r="8" spans="1:4" ht="63.75" customHeight="1">
      <c r="A8" s="151">
        <v>2</v>
      </c>
      <c r="B8" s="151">
        <v>4</v>
      </c>
      <c r="C8" s="76" t="s">
        <v>139</v>
      </c>
      <c r="D8" s="76" t="s">
        <v>128</v>
      </c>
    </row>
    <row r="9" spans="1:4" ht="76.5" customHeight="1">
      <c r="A9" s="151">
        <v>1.14</v>
      </c>
      <c r="B9" s="151">
        <v>2.97</v>
      </c>
      <c r="C9" s="76" t="s">
        <v>155</v>
      </c>
      <c r="D9" s="76" t="s">
        <v>142</v>
      </c>
    </row>
    <row r="10" spans="1:4" ht="12.75" customHeight="1">
      <c r="A10" s="157">
        <f>ROUND(AVERAGE(A6:A9),2)</f>
        <v>1.92</v>
      </c>
      <c r="B10" s="157">
        <f>ROUND(AVERAGE(B6:B9),2)</f>
        <v>3.72</v>
      </c>
      <c r="C10" s="158" t="s">
        <v>130</v>
      </c>
      <c r="D10" s="159"/>
    </row>
    <row r="11" spans="1:3" ht="25.5" customHeight="1">
      <c r="A11" s="44"/>
      <c r="B11" s="89"/>
      <c r="C11" s="45"/>
    </row>
    <row r="12" spans="1:4" ht="12.75">
      <c r="A12" s="245" t="s">
        <v>124</v>
      </c>
      <c r="B12" s="246"/>
      <c r="C12" s="145"/>
      <c r="D12" s="145"/>
    </row>
    <row r="13" spans="1:4" ht="12.75">
      <c r="A13" s="166" t="s">
        <v>125</v>
      </c>
      <c r="B13" s="153" t="s">
        <v>126</v>
      </c>
      <c r="C13" s="176"/>
      <c r="D13" s="46"/>
    </row>
    <row r="14" spans="1:4" ht="12.75" customHeight="1">
      <c r="A14" s="154">
        <v>2002</v>
      </c>
      <c r="B14" s="165">
        <v>1.13</v>
      </c>
      <c r="C14" s="146"/>
      <c r="D14" s="46"/>
    </row>
    <row r="15" spans="1:4" ht="12.75" customHeight="1">
      <c r="A15" s="154">
        <v>2003</v>
      </c>
      <c r="B15" s="165">
        <v>1.1</v>
      </c>
      <c r="C15" s="45"/>
      <c r="D15" s="147"/>
    </row>
    <row r="16" spans="1:4" ht="12.75" customHeight="1">
      <c r="A16" s="154">
        <v>2004</v>
      </c>
      <c r="B16" s="165">
        <v>1.07</v>
      </c>
      <c r="C16" s="145"/>
      <c r="D16" s="145"/>
    </row>
    <row r="17" spans="1:4" ht="12.75" customHeight="1">
      <c r="A17" s="154">
        <v>2005</v>
      </c>
      <c r="B17" s="165">
        <v>1.04</v>
      </c>
      <c r="C17" s="176"/>
      <c r="D17" s="163"/>
    </row>
    <row r="18" spans="1:4" ht="12.75">
      <c r="A18" s="156" t="s">
        <v>127</v>
      </c>
      <c r="B18" s="84"/>
      <c r="C18" s="176"/>
      <c r="D18" s="163"/>
    </row>
    <row r="19" spans="1:4" ht="12.75" customHeight="1">
      <c r="A19" s="148"/>
      <c r="B19" s="44"/>
      <c r="C19" s="177"/>
      <c r="D19" s="163"/>
    </row>
    <row r="20" spans="1:4" ht="12.75">
      <c r="A20" s="44"/>
      <c r="B20" s="44"/>
      <c r="C20" s="176"/>
      <c r="D20" s="163"/>
    </row>
    <row r="21" spans="1:4" ht="12.75">
      <c r="A21" s="44"/>
      <c r="B21" s="44"/>
      <c r="C21" s="176"/>
      <c r="D21" s="163"/>
    </row>
    <row r="22" spans="1:4" ht="12.75">
      <c r="A22" s="44"/>
      <c r="B22" s="44"/>
      <c r="C22" s="176"/>
      <c r="D22" s="163"/>
    </row>
    <row r="23" spans="1:4" ht="12.75">
      <c r="A23" s="44"/>
      <c r="B23" s="44"/>
      <c r="C23" s="178"/>
      <c r="D23" s="163"/>
    </row>
    <row r="24" spans="1:4" ht="12.75">
      <c r="A24" s="44"/>
      <c r="B24" s="44"/>
      <c r="C24" s="178"/>
      <c r="D24" s="46"/>
    </row>
    <row r="25" spans="1:4" ht="12.75">
      <c r="A25" s="44"/>
      <c r="B25" s="44"/>
      <c r="C25" s="179"/>
      <c r="D25" s="149"/>
    </row>
    <row r="26" spans="1:4" ht="12.75">
      <c r="A26" s="40"/>
      <c r="B26" s="40"/>
      <c r="C26" s="40"/>
      <c r="D26" s="40"/>
    </row>
    <row r="27" spans="1:4" ht="12.75">
      <c r="A27" s="40"/>
      <c r="B27" s="40"/>
      <c r="C27" s="40"/>
      <c r="D27" s="40"/>
    </row>
    <row r="28" ht="12.75">
      <c r="C28" s="79"/>
    </row>
  </sheetData>
  <mergeCells count="2">
    <mergeCell ref="A1:B1"/>
    <mergeCell ref="A12:B12"/>
  </mergeCells>
  <printOptions horizontalCentered="1"/>
  <pageMargins left="0.75" right="0.75" top="1" bottom="1" header="0.5" footer="0.5"/>
  <pageSetup fitToHeight="1" fitToWidth="1" horizontalDpi="600" verticalDpi="600" orientation="portrait" scale="68" r:id="rId3"/>
  <drawing r:id="rId1"/>
  <picture r:id="rId2"/>
</worksheet>
</file>

<file path=xl/worksheets/sheet8.xml><?xml version="1.0" encoding="utf-8"?>
<worksheet xmlns="http://schemas.openxmlformats.org/spreadsheetml/2006/main" xmlns:r="http://schemas.openxmlformats.org/officeDocument/2006/relationships">
  <sheetPr codeName="Sheet6">
    <pageSetUpPr fitToPage="1"/>
  </sheetPr>
  <dimension ref="A1:K33"/>
  <sheetViews>
    <sheetView showGridLines="0" workbookViewId="0" topLeftCell="A1">
      <selection activeCell="M7" sqref="M7"/>
    </sheetView>
  </sheetViews>
  <sheetFormatPr defaultColWidth="9.140625" defaultRowHeight="12.75"/>
  <cols>
    <col min="1" max="1" width="3.421875" style="0" customWidth="1"/>
    <col min="9" max="9" width="11.421875" style="0" customWidth="1"/>
  </cols>
  <sheetData>
    <row r="1" spans="1:10" ht="13.5" thickTop="1">
      <c r="A1" s="247" t="s">
        <v>163</v>
      </c>
      <c r="B1" s="248"/>
      <c r="C1" s="248"/>
      <c r="D1" s="248"/>
      <c r="E1" s="248"/>
      <c r="F1" s="248"/>
      <c r="G1" s="248"/>
      <c r="H1" s="249"/>
      <c r="I1" s="249"/>
      <c r="J1" s="250"/>
    </row>
    <row r="2" spans="1:10" ht="12.75">
      <c r="A2" s="20"/>
      <c r="B2" s="17"/>
      <c r="C2" s="17"/>
      <c r="D2" s="17"/>
      <c r="E2" s="17"/>
      <c r="F2" s="17"/>
      <c r="G2" s="17"/>
      <c r="H2" s="17"/>
      <c r="I2" s="17"/>
      <c r="J2" s="21"/>
    </row>
    <row r="3" spans="1:10" ht="23.25" customHeight="1">
      <c r="A3" s="251" t="s">
        <v>76</v>
      </c>
      <c r="B3" s="211"/>
      <c r="C3" s="211"/>
      <c r="D3" s="211"/>
      <c r="E3" s="211"/>
      <c r="F3" s="211"/>
      <c r="G3" s="211"/>
      <c r="H3" s="211"/>
      <c r="I3" s="211"/>
      <c r="J3" s="254"/>
    </row>
    <row r="4" spans="1:10" ht="12.75" customHeight="1">
      <c r="A4" s="22"/>
      <c r="B4" s="18"/>
      <c r="C4" s="18"/>
      <c r="D4" s="18"/>
      <c r="E4" s="18"/>
      <c r="F4" s="18"/>
      <c r="G4" s="18"/>
      <c r="H4" s="18"/>
      <c r="I4" s="18"/>
      <c r="J4" s="23"/>
    </row>
    <row r="5" spans="1:10" ht="12.75" customHeight="1">
      <c r="A5" s="251" t="s">
        <v>56</v>
      </c>
      <c r="B5" s="202"/>
      <c r="C5" s="202"/>
      <c r="D5" s="202"/>
      <c r="E5" s="202"/>
      <c r="F5" s="202"/>
      <c r="G5" s="202"/>
      <c r="H5" s="202"/>
      <c r="I5" s="202"/>
      <c r="J5" s="255"/>
    </row>
    <row r="6" spans="1:10" ht="12.75" customHeight="1">
      <c r="A6" s="22"/>
      <c r="B6" s="18"/>
      <c r="C6" s="18"/>
      <c r="D6" s="18"/>
      <c r="E6" s="18"/>
      <c r="F6" s="18"/>
      <c r="G6" s="18"/>
      <c r="H6" s="18"/>
      <c r="I6" s="18"/>
      <c r="J6" s="23"/>
    </row>
    <row r="7" spans="1:10" ht="24" customHeight="1">
      <c r="A7" s="251" t="s">
        <v>78</v>
      </c>
      <c r="B7" s="211"/>
      <c r="C7" s="211"/>
      <c r="D7" s="211"/>
      <c r="E7" s="211"/>
      <c r="F7" s="211"/>
      <c r="G7" s="211"/>
      <c r="H7" s="211"/>
      <c r="I7" s="211"/>
      <c r="J7" s="254"/>
    </row>
    <row r="8" spans="1:10" ht="9.75" customHeight="1">
      <c r="A8" s="31"/>
      <c r="B8" s="18"/>
      <c r="C8" s="18"/>
      <c r="D8" s="18"/>
      <c r="E8" s="18"/>
      <c r="F8" s="18"/>
      <c r="G8" s="18"/>
      <c r="H8" s="18"/>
      <c r="I8" s="18"/>
      <c r="J8" s="23"/>
    </row>
    <row r="9" spans="1:10" ht="24" customHeight="1">
      <c r="A9" s="251" t="s">
        <v>77</v>
      </c>
      <c r="B9" s="211"/>
      <c r="C9" s="211"/>
      <c r="D9" s="211"/>
      <c r="E9" s="211"/>
      <c r="F9" s="211"/>
      <c r="G9" s="211"/>
      <c r="H9" s="211"/>
      <c r="I9" s="211"/>
      <c r="J9" s="254"/>
    </row>
    <row r="10" spans="1:10" ht="12.75" customHeight="1">
      <c r="A10" s="22"/>
      <c r="B10" s="18"/>
      <c r="C10" s="18"/>
      <c r="D10" s="18"/>
      <c r="E10" s="18"/>
      <c r="F10" s="18"/>
      <c r="G10" s="18"/>
      <c r="H10" s="18"/>
      <c r="I10" s="18"/>
      <c r="J10" s="23"/>
    </row>
    <row r="11" spans="1:10" ht="37.5" customHeight="1">
      <c r="A11" s="251" t="s">
        <v>145</v>
      </c>
      <c r="B11" s="252"/>
      <c r="C11" s="252"/>
      <c r="D11" s="252"/>
      <c r="E11" s="252"/>
      <c r="F11" s="252"/>
      <c r="G11" s="252"/>
      <c r="H11" s="252"/>
      <c r="I11" s="252"/>
      <c r="J11" s="253"/>
    </row>
    <row r="12" spans="1:10" ht="7.5" customHeight="1">
      <c r="A12" s="22"/>
      <c r="B12" s="19"/>
      <c r="C12" s="19"/>
      <c r="D12" s="19"/>
      <c r="E12" s="19"/>
      <c r="F12" s="19"/>
      <c r="G12" s="19"/>
      <c r="H12" s="19"/>
      <c r="I12" s="19"/>
      <c r="J12" s="24"/>
    </row>
    <row r="13" spans="1:11" ht="25.5" customHeight="1">
      <c r="A13" s="251" t="s">
        <v>157</v>
      </c>
      <c r="B13" s="252"/>
      <c r="C13" s="252"/>
      <c r="D13" s="252"/>
      <c r="E13" s="252"/>
      <c r="F13" s="252"/>
      <c r="G13" s="252"/>
      <c r="H13" s="252"/>
      <c r="I13" s="252"/>
      <c r="J13" s="253"/>
      <c r="K13" s="200"/>
    </row>
    <row r="14" spans="1:10" ht="7.5" customHeight="1">
      <c r="A14" s="22"/>
      <c r="B14" s="19"/>
      <c r="C14" s="19"/>
      <c r="D14" s="19"/>
      <c r="E14" s="19"/>
      <c r="F14" s="19"/>
      <c r="G14" s="19"/>
      <c r="H14" s="19"/>
      <c r="I14" s="19"/>
      <c r="J14" s="24"/>
    </row>
    <row r="15" spans="1:10" ht="25.5" customHeight="1">
      <c r="A15" s="251" t="s">
        <v>143</v>
      </c>
      <c r="B15" s="211"/>
      <c r="C15" s="211"/>
      <c r="D15" s="211"/>
      <c r="E15" s="211"/>
      <c r="F15" s="211"/>
      <c r="G15" s="211"/>
      <c r="H15" s="211"/>
      <c r="I15" s="211"/>
      <c r="J15" s="254"/>
    </row>
    <row r="16" spans="1:10" ht="12.75" customHeight="1">
      <c r="A16" s="22"/>
      <c r="B16" s="19"/>
      <c r="C16" s="19"/>
      <c r="D16" s="19"/>
      <c r="E16" s="19"/>
      <c r="F16" s="19"/>
      <c r="G16" s="19"/>
      <c r="H16" s="19"/>
      <c r="I16" s="19"/>
      <c r="J16" s="24"/>
    </row>
    <row r="17" spans="1:10" ht="12.75" customHeight="1">
      <c r="A17" s="251" t="s">
        <v>57</v>
      </c>
      <c r="B17" s="202"/>
      <c r="C17" s="202"/>
      <c r="D17" s="202"/>
      <c r="E17" s="202"/>
      <c r="F17" s="202"/>
      <c r="G17" s="202"/>
      <c r="H17" s="202"/>
      <c r="I17" s="202"/>
      <c r="J17" s="255"/>
    </row>
    <row r="18" spans="1:10" ht="12.75" customHeight="1">
      <c r="A18" s="22"/>
      <c r="B18" s="19"/>
      <c r="C18" s="19"/>
      <c r="D18" s="19"/>
      <c r="E18" s="19"/>
      <c r="F18" s="19"/>
      <c r="G18" s="19"/>
      <c r="H18" s="19"/>
      <c r="I18" s="19"/>
      <c r="J18" s="24"/>
    </row>
    <row r="19" spans="1:10" ht="39" customHeight="1">
      <c r="A19" s="251" t="s">
        <v>79</v>
      </c>
      <c r="B19" s="202"/>
      <c r="C19" s="202"/>
      <c r="D19" s="202"/>
      <c r="E19" s="202"/>
      <c r="F19" s="202"/>
      <c r="G19" s="202"/>
      <c r="H19" s="202"/>
      <c r="I19" s="202"/>
      <c r="J19" s="255"/>
    </row>
    <row r="20" spans="1:10" ht="12" customHeight="1" thickBot="1">
      <c r="A20" s="256"/>
      <c r="B20" s="257"/>
      <c r="C20" s="257"/>
      <c r="D20" s="257"/>
      <c r="E20" s="257"/>
      <c r="F20" s="257"/>
      <c r="G20" s="257"/>
      <c r="H20" s="257"/>
      <c r="I20" s="257"/>
      <c r="J20" s="258"/>
    </row>
    <row r="21" ht="13.5" thickTop="1">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sheetData>
  <mergeCells count="11">
    <mergeCell ref="A17:J17"/>
    <mergeCell ref="A13:J13"/>
    <mergeCell ref="A20:J20"/>
    <mergeCell ref="A15:J15"/>
    <mergeCell ref="A19:J19"/>
    <mergeCell ref="A1:J1"/>
    <mergeCell ref="A11:J11"/>
    <mergeCell ref="A7:J7"/>
    <mergeCell ref="A3:J3"/>
    <mergeCell ref="A9:J9"/>
    <mergeCell ref="A5:J5"/>
  </mergeCells>
  <printOptions horizontalCentered="1"/>
  <pageMargins left="0.75" right="0.75" top="1" bottom="1" header="0.5" footer="0.5"/>
  <pageSetup fitToHeight="1" fitToWidth="1" horizontalDpi="600" verticalDpi="600" orientation="portrait" r:id="rId3"/>
  <drawing r:id="rId1"/>
  <picture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T13"/>
  <sheetViews>
    <sheetView showGridLines="0" workbookViewId="0" topLeftCell="A1">
      <selection activeCell="A1" sqref="A1:C1"/>
    </sheetView>
  </sheetViews>
  <sheetFormatPr defaultColWidth="9.140625" defaultRowHeight="12.75"/>
  <cols>
    <col min="1" max="1" width="17.00390625" style="0" customWidth="1"/>
    <col min="2" max="2" width="18.7109375" style="0" customWidth="1"/>
    <col min="3" max="3" width="22.57421875" style="0" customWidth="1"/>
    <col min="4" max="5" width="15.7109375" style="0" customWidth="1"/>
    <col min="6" max="6" width="15.421875" style="0" customWidth="1"/>
  </cols>
  <sheetData>
    <row r="1" spans="1:20" ht="12.75">
      <c r="A1" s="259" t="s">
        <v>89</v>
      </c>
      <c r="B1" s="260"/>
      <c r="C1" s="260"/>
      <c r="D1" s="259" t="s">
        <v>92</v>
      </c>
      <c r="E1" s="260"/>
      <c r="F1" s="260"/>
      <c r="G1" s="261"/>
      <c r="H1" s="259" t="s">
        <v>98</v>
      </c>
      <c r="I1" s="262"/>
      <c r="J1" s="262"/>
      <c r="K1" s="263"/>
      <c r="L1" s="113" t="s">
        <v>103</v>
      </c>
      <c r="M1" s="121"/>
      <c r="N1" s="121"/>
      <c r="O1" s="122"/>
      <c r="P1" s="137"/>
      <c r="Q1" s="115"/>
      <c r="R1" s="115"/>
      <c r="S1" s="115"/>
      <c r="T1" s="121"/>
    </row>
    <row r="2" spans="1:20" ht="12.75">
      <c r="A2" s="114"/>
      <c r="B2" s="115"/>
      <c r="C2" s="115"/>
      <c r="D2" s="114"/>
      <c r="E2" s="115"/>
      <c r="F2" s="115"/>
      <c r="G2" s="116"/>
      <c r="H2" s="114"/>
      <c r="I2" s="115"/>
      <c r="J2" s="115"/>
      <c r="K2" s="116"/>
      <c r="L2" s="114"/>
      <c r="M2" s="115"/>
      <c r="N2" s="115"/>
      <c r="O2" s="116"/>
      <c r="P2" s="114"/>
      <c r="Q2" s="115"/>
      <c r="R2" s="115"/>
      <c r="S2" s="115"/>
      <c r="T2" s="115"/>
    </row>
    <row r="3" spans="1:20" ht="12.75">
      <c r="A3" s="114" t="s">
        <v>90</v>
      </c>
      <c r="B3" s="115"/>
      <c r="C3" s="115"/>
      <c r="D3" s="114" t="s">
        <v>88</v>
      </c>
      <c r="E3" s="115"/>
      <c r="F3" s="115"/>
      <c r="G3" s="116"/>
      <c r="H3" s="114" t="s">
        <v>49</v>
      </c>
      <c r="I3" s="115"/>
      <c r="J3" s="115"/>
      <c r="K3" s="116"/>
      <c r="L3" s="114" t="s">
        <v>90</v>
      </c>
      <c r="M3" s="115"/>
      <c r="N3" s="115"/>
      <c r="O3" s="116"/>
      <c r="P3" s="114"/>
      <c r="Q3" s="115"/>
      <c r="R3" s="115"/>
      <c r="S3" s="115"/>
      <c r="T3" s="115"/>
    </row>
    <row r="4" spans="1:20" ht="12.75">
      <c r="A4" s="117" t="s">
        <v>91</v>
      </c>
      <c r="B4" s="118"/>
      <c r="C4" s="118"/>
      <c r="D4" s="114" t="s">
        <v>93</v>
      </c>
      <c r="E4" s="115"/>
      <c r="F4" s="115"/>
      <c r="G4" s="116"/>
      <c r="H4" s="117" t="s">
        <v>99</v>
      </c>
      <c r="I4" s="118"/>
      <c r="J4" s="118"/>
      <c r="K4" s="119"/>
      <c r="L4" s="117" t="s">
        <v>91</v>
      </c>
      <c r="M4" s="115"/>
      <c r="N4" s="115"/>
      <c r="O4" s="116"/>
      <c r="P4" s="114"/>
      <c r="Q4" s="115"/>
      <c r="R4" s="115"/>
      <c r="S4" s="115"/>
      <c r="T4" s="115"/>
    </row>
    <row r="5" spans="4:16" ht="25.5">
      <c r="D5" s="120" t="s">
        <v>94</v>
      </c>
      <c r="E5" s="118"/>
      <c r="F5" s="118"/>
      <c r="G5" s="119"/>
      <c r="H5" s="113" t="s">
        <v>108</v>
      </c>
      <c r="I5" s="121"/>
      <c r="J5" s="121"/>
      <c r="K5" s="121"/>
      <c r="L5" s="122"/>
      <c r="M5" s="113" t="s">
        <v>133</v>
      </c>
      <c r="N5" s="121"/>
      <c r="O5" s="121"/>
      <c r="P5" s="122"/>
    </row>
    <row r="6" spans="8:16" ht="12.75">
      <c r="H6" s="114"/>
      <c r="I6" s="115"/>
      <c r="J6" s="115"/>
      <c r="K6" s="115"/>
      <c r="L6" s="116"/>
      <c r="M6" s="114"/>
      <c r="N6" s="115"/>
      <c r="O6" s="115"/>
      <c r="P6" s="116"/>
    </row>
    <row r="7" spans="1:16" ht="12.75">
      <c r="A7" s="161" t="s">
        <v>95</v>
      </c>
      <c r="B7" s="161" t="s">
        <v>96</v>
      </c>
      <c r="C7" s="161" t="s">
        <v>97</v>
      </c>
      <c r="D7" s="161" t="s">
        <v>105</v>
      </c>
      <c r="E7" s="161" t="s">
        <v>109</v>
      </c>
      <c r="F7" s="161" t="s">
        <v>136</v>
      </c>
      <c r="H7" s="114" t="s">
        <v>90</v>
      </c>
      <c r="I7" s="115"/>
      <c r="J7" s="115"/>
      <c r="K7" s="115"/>
      <c r="L7" s="116"/>
      <c r="M7" s="114" t="s">
        <v>134</v>
      </c>
      <c r="N7" s="115"/>
      <c r="O7" s="115"/>
      <c r="P7" s="116"/>
    </row>
    <row r="8" spans="1:16" ht="12.75">
      <c r="A8" s="162"/>
      <c r="B8" s="162"/>
      <c r="C8" s="162"/>
      <c r="D8" s="162"/>
      <c r="E8" s="162"/>
      <c r="F8" s="162"/>
      <c r="H8" s="117" t="s">
        <v>91</v>
      </c>
      <c r="I8" s="118"/>
      <c r="J8" s="118"/>
      <c r="K8" s="118"/>
      <c r="L8" s="119"/>
      <c r="M8" s="117" t="s">
        <v>135</v>
      </c>
      <c r="N8" s="118"/>
      <c r="O8" s="118"/>
      <c r="P8" s="119"/>
    </row>
    <row r="9" spans="1:6" ht="12.75">
      <c r="A9" s="175" t="s">
        <v>90</v>
      </c>
      <c r="B9" s="175" t="s">
        <v>88</v>
      </c>
      <c r="C9" s="175" t="s">
        <v>99</v>
      </c>
      <c r="D9" s="175" t="s">
        <v>90</v>
      </c>
      <c r="E9" s="175" t="s">
        <v>90</v>
      </c>
      <c r="F9" s="175" t="s">
        <v>135</v>
      </c>
    </row>
    <row r="12" ht="12.75">
      <c r="A12" s="136"/>
    </row>
    <row r="13" spans="1:3" ht="12.75">
      <c r="A13" s="264" t="s">
        <v>121</v>
      </c>
      <c r="B13" s="231"/>
      <c r="C13" s="231"/>
    </row>
  </sheetData>
  <sheetProtection sheet="1" objects="1" scenarios="1"/>
  <mergeCells count="4">
    <mergeCell ref="A1:C1"/>
    <mergeCell ref="D1:G1"/>
    <mergeCell ref="H1:K1"/>
    <mergeCell ref="A13:C13"/>
  </mergeCells>
  <printOptions/>
  <pageMargins left="0.75" right="0.75" top="1" bottom="1" header="0.5" footer="0.5"/>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 </cp:lastModifiedBy>
  <cp:lastPrinted>2006-09-28T15:05:29Z</cp:lastPrinted>
  <dcterms:created xsi:type="dcterms:W3CDTF">2006-05-08T15:38:51Z</dcterms:created>
  <dcterms:modified xsi:type="dcterms:W3CDTF">2008-11-17T19:09:29Z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